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66925"/>
  <mc:AlternateContent xmlns:mc="http://schemas.openxmlformats.org/markup-compatibility/2006">
    <mc:Choice Requires="x15">
      <x15ac:absPath xmlns:x15ac="http://schemas.microsoft.com/office/spreadsheetml/2010/11/ac" url="U:\a-FORA\ESCA Stans Files\Grant Amend 2016-2017\"/>
    </mc:Choice>
  </mc:AlternateContent>
  <xr:revisionPtr revIDLastSave="0" documentId="8_{55BF8786-377F-47E9-80FF-FA94684B2330}" xr6:coauthVersionLast="44" xr6:coauthVersionMax="44" xr10:uidLastSave="{00000000-0000-0000-0000-000000000000}"/>
  <bookViews>
    <workbookView xWindow="-120" yWindow="-120" windowWidth="29040" windowHeight="15840" tabRatio="894" activeTab="1" xr2:uid="{00000000-000D-0000-FFFF-FFFF00000000}"/>
  </bookViews>
  <sheets>
    <sheet name="Assumptions" sheetId="10" r:id="rId1"/>
    <sheet name="Sum Adm+Reg+LTO 8 yr(v2)" sheetId="4" r:id="rId2"/>
    <sheet name="Reg. Reimburs Costs" sheetId="6" r:id="rId3"/>
    <sheet name="FORA Admin Costs updated" sheetId="5" r:id="rId4"/>
    <sheet name="Post-Closure MEC Find Assesment" sheetId="1" r:id="rId5"/>
    <sheet name=" Long Term Mgmnt 8y" sheetId="2" r:id="rId6"/>
    <sheet name="LUC Mgmnt 8y" sheetId="3" r:id="rId7"/>
    <sheet name="FORA Loaded Hourly" sheetId="8" r:id="rId8"/>
  </sheets>
  <definedNames>
    <definedName name="_xlnm.Print_Area" localSheetId="5">' Long Term Mgmnt 8y'!$A$2:$H$155</definedName>
    <definedName name="_xlnm.Print_Area" localSheetId="0">Assumptions!$A$1:$A$29</definedName>
    <definedName name="_xlnm.Print_Area" localSheetId="3">'FORA Admin Costs updated'!$A$1:$AP$69</definedName>
    <definedName name="_xlnm.Print_Area" localSheetId="6">'LUC Mgmnt 8y'!$A$2:$L$131</definedName>
    <definedName name="_xlnm.Print_Area" localSheetId="4">'Post-Closure MEC Find Assesment'!$A$2:$N$77</definedName>
    <definedName name="_xlnm.Print_Area" localSheetId="2">'Reg. Reimburs Costs'!$A$1:$O$161</definedName>
    <definedName name="_xlnm.Print_Area" localSheetId="1">'Sum Adm+Reg+LTO 8 yr(v2)'!$A$50:$O$85</definedName>
    <definedName name="Z_15B474D1_E47A_4C0E_8895_89D98B12A497_.wvu.PrintArea" localSheetId="5" hidden="1">' Long Term Mgmnt 8y'!$A$2:$H$118</definedName>
    <definedName name="Z_15B474D1_E47A_4C0E_8895_89D98B12A497_.wvu.PrintArea" localSheetId="6" hidden="1">'LUC Mgmnt 8y'!$A$2:$L$94</definedName>
    <definedName name="Z_15B474D1_E47A_4C0E_8895_89D98B12A497_.wvu.PrintArea" localSheetId="4" hidden="1">'Post-Closure MEC Find Assesment'!$A$2:$N$40</definedName>
    <definedName name="Z_5E423FF4_B179_40EA_B86D_E5D89FDA80FE_.wvu.PrintArea" localSheetId="5" hidden="1">' Long Term Mgmnt 8y'!$A$2:$H$118</definedName>
    <definedName name="Z_5E423FF4_B179_40EA_B86D_E5D89FDA80FE_.wvu.PrintArea" localSheetId="6" hidden="1">'LUC Mgmnt 8y'!$A$2:$L$94</definedName>
    <definedName name="Z_5E423FF4_B179_40EA_B86D_E5D89FDA80FE_.wvu.PrintArea" localSheetId="4" hidden="1">'Post-Closure MEC Find Assesment'!$A$2:$N$40</definedName>
    <definedName name="Z_CAABEC37_EB41_41EA_8358_75DFFF1C418B_.wvu.PrintArea" localSheetId="5" hidden="1">' Long Term Mgmnt 8y'!$A$2:$H$118</definedName>
    <definedName name="Z_CAABEC37_EB41_41EA_8358_75DFFF1C418B_.wvu.PrintArea" localSheetId="6" hidden="1">'LUC Mgmnt 8y'!$A$2:$L$94</definedName>
    <definedName name="Z_CAABEC37_EB41_41EA_8358_75DFFF1C418B_.wvu.PrintArea" localSheetId="4" hidden="1">'Post-Closure MEC Find Assesment'!$A$2:$N$40</definedName>
  </definedNames>
  <calcPr calcId="181029"/>
  <customWorkbookViews>
    <customWorkbookView name="Stan Cook - Personal View" guid="{CAABEC37-EB41-41EA-8358-75DFFF1C418B}" mergeInterval="0" personalView="1" maximized="1" xWindow="-9" yWindow="-9" windowWidth="1938" windowHeight="1050" tabRatio="872" activeSheetId="1"/>
    <customWorkbookView name="CIC Intern - Personal View" guid="{15B474D1-E47A-4C0E-8895-89D98B12A497}" mergeInterval="0" personalView="1" maximized="1" xWindow="-8" yWindow="-8" windowWidth="1382" windowHeight="744" tabRatio="872" activeSheetId="2"/>
    <customWorkbookView name="Helen Rodriguez - Personal View" guid="{5E423FF4-B179-40EA-B86D-E5D89FDA80FE}" mergeInterval="0" personalView="1" maximized="1" xWindow="-8" yWindow="-8" windowWidth="1936" windowHeight="1056" tabRatio="872" activeSheetId="1"/>
  </customWorkbookViews>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68" i="4" l="1"/>
  <c r="C68" i="4"/>
  <c r="B68" i="4"/>
  <c r="B69" i="4"/>
  <c r="C69" i="4"/>
  <c r="D69" i="4"/>
  <c r="C82" i="4" l="1"/>
  <c r="B63" i="4"/>
  <c r="B64" i="4" s="1"/>
  <c r="B58" i="4"/>
  <c r="D70" i="4"/>
  <c r="C70" i="4"/>
  <c r="B70" i="4"/>
  <c r="D63" i="4"/>
  <c r="D64" i="4" s="1"/>
  <c r="C63" i="4"/>
  <c r="C64" i="4" s="1"/>
  <c r="C58" i="4"/>
  <c r="C59" i="4" s="1"/>
  <c r="D58" i="4"/>
  <c r="D59" i="4" s="1"/>
  <c r="M54" i="4"/>
  <c r="L54" i="4"/>
  <c r="K54" i="4"/>
  <c r="J54" i="4"/>
  <c r="I54" i="4"/>
  <c r="H54" i="4"/>
  <c r="G54" i="4"/>
  <c r="F54" i="4"/>
  <c r="M52" i="4"/>
  <c r="L52" i="4"/>
  <c r="K52" i="4"/>
  <c r="J52" i="4"/>
  <c r="I52" i="4"/>
  <c r="H52" i="4"/>
  <c r="G52" i="4"/>
  <c r="F52" i="4"/>
  <c r="E52" i="4"/>
  <c r="B52" i="4"/>
  <c r="B59" i="4"/>
  <c r="F38" i="1"/>
  <c r="J93" i="3" l="1"/>
  <c r="E80" i="4" s="1"/>
  <c r="H93" i="3"/>
  <c r="C80" i="4" s="1"/>
  <c r="H110" i="2"/>
  <c r="H109" i="2"/>
  <c r="H107" i="2"/>
  <c r="H106" i="2"/>
  <c r="H105" i="2"/>
  <c r="H104" i="2"/>
  <c r="H103" i="2"/>
  <c r="H102" i="2"/>
  <c r="H101" i="2"/>
  <c r="H100" i="2"/>
  <c r="H99" i="2"/>
  <c r="H98" i="2"/>
  <c r="H97" i="2"/>
  <c r="H87" i="2"/>
  <c r="H86" i="2"/>
  <c r="H66" i="2"/>
  <c r="H65" i="2"/>
  <c r="H64" i="2"/>
  <c r="H63" i="2"/>
  <c r="H62" i="2"/>
  <c r="H61" i="2"/>
  <c r="H47" i="2"/>
  <c r="H46" i="2"/>
  <c r="H45" i="2"/>
  <c r="H44" i="2"/>
  <c r="H42" i="2"/>
  <c r="H41" i="2"/>
  <c r="G91" i="2"/>
  <c r="H91" i="2" s="1"/>
  <c r="G18" i="2"/>
  <c r="H18" i="2" s="1"/>
  <c r="G15" i="2"/>
  <c r="H15" i="2" s="1"/>
  <c r="G12" i="2"/>
  <c r="H12" i="2" s="1"/>
  <c r="J38" i="1" l="1"/>
  <c r="E78" i="4" s="1"/>
  <c r="E81" i="4" s="1"/>
  <c r="K10" i="1" l="1"/>
  <c r="E112" i="2"/>
  <c r="G112" i="2" s="1"/>
  <c r="H112" i="2" s="1"/>
  <c r="E94" i="2"/>
  <c r="G94" i="2" s="1"/>
  <c r="H94" i="2" s="1"/>
  <c r="E92" i="2"/>
  <c r="G92" i="2" s="1"/>
  <c r="H92" i="2" s="1"/>
  <c r="F92" i="2"/>
  <c r="F94" i="2"/>
  <c r="F95" i="2"/>
  <c r="F80" i="2"/>
  <c r="F81" i="2"/>
  <c r="F83" i="2"/>
  <c r="F84" i="2"/>
  <c r="F85" i="2"/>
  <c r="F71" i="2"/>
  <c r="F72" i="2"/>
  <c r="F73" i="2"/>
  <c r="F74" i="2"/>
  <c r="F75" i="2"/>
  <c r="F50" i="2"/>
  <c r="F51" i="2"/>
  <c r="F52" i="2"/>
  <c r="F53" i="2"/>
  <c r="F54" i="2"/>
  <c r="F55" i="2"/>
  <c r="F56" i="2"/>
  <c r="F57" i="2"/>
  <c r="F33" i="2"/>
  <c r="F34" i="2"/>
  <c r="F35" i="2"/>
  <c r="F36" i="2"/>
  <c r="F29" i="2"/>
  <c r="F30" i="2"/>
  <c r="F26" i="2"/>
  <c r="F114" i="2"/>
  <c r="F112" i="2"/>
  <c r="F91" i="2"/>
  <c r="F79" i="2"/>
  <c r="F70" i="2"/>
  <c r="F49" i="2"/>
  <c r="F32" i="2"/>
  <c r="F28" i="2"/>
  <c r="F25" i="2"/>
  <c r="F9" i="2"/>
  <c r="F10" i="2"/>
  <c r="F11" i="2"/>
  <c r="F12" i="2"/>
  <c r="F13" i="2"/>
  <c r="F14" i="2"/>
  <c r="F15" i="2"/>
  <c r="F16" i="2"/>
  <c r="F17" i="2"/>
  <c r="F18" i="2"/>
  <c r="F19" i="2"/>
  <c r="F20" i="2"/>
  <c r="F21" i="2"/>
  <c r="F8" i="2"/>
  <c r="D16" i="8"/>
  <c r="D15" i="8"/>
  <c r="D10" i="8"/>
  <c r="D11" i="8"/>
  <c r="D9" i="8"/>
  <c r="B17" i="8"/>
  <c r="D17" i="8" l="1"/>
  <c r="K91" i="3"/>
  <c r="K90" i="3"/>
  <c r="K89" i="3"/>
  <c r="K88" i="3"/>
  <c r="K87" i="3"/>
  <c r="K85" i="3"/>
  <c r="K84" i="3"/>
  <c r="K83" i="3"/>
  <c r="K82" i="3"/>
  <c r="K81" i="3"/>
  <c r="K75" i="3"/>
  <c r="K64" i="3"/>
  <c r="K58" i="3"/>
  <c r="K57" i="3"/>
  <c r="K56" i="3"/>
  <c r="K55" i="3"/>
  <c r="K54" i="3"/>
  <c r="K53" i="3"/>
  <c r="K52" i="3"/>
  <c r="I57" i="3"/>
  <c r="I56" i="3"/>
  <c r="I55" i="3"/>
  <c r="I54" i="3"/>
  <c r="I52" i="3"/>
  <c r="I91" i="3"/>
  <c r="I90" i="3"/>
  <c r="I89" i="3"/>
  <c r="I88" i="3"/>
  <c r="I87" i="3"/>
  <c r="I85" i="3"/>
  <c r="I84" i="3"/>
  <c r="I83" i="3"/>
  <c r="I82" i="3"/>
  <c r="I81" i="3"/>
  <c r="I75" i="3"/>
  <c r="F5" i="3"/>
  <c r="F93" i="3" s="1"/>
  <c r="L38" i="1"/>
  <c r="D78" i="4" s="1"/>
  <c r="D81" i="4" s="1"/>
  <c r="H38" i="1"/>
  <c r="C78" i="4" s="1"/>
  <c r="E74" i="5" l="1"/>
  <c r="D12" i="8" l="1"/>
  <c r="E5" i="3" l="1"/>
  <c r="E4" i="1"/>
  <c r="G4" i="1" s="1"/>
  <c r="E9" i="1"/>
  <c r="E5" i="1"/>
  <c r="G5" i="1" s="1"/>
  <c r="G38" i="1" s="1"/>
  <c r="E8" i="1"/>
  <c r="K8" i="1" s="1"/>
  <c r="E41" i="3"/>
  <c r="K41" i="3" s="1"/>
  <c r="E12" i="1"/>
  <c r="K12" i="1" s="1"/>
  <c r="E42" i="3"/>
  <c r="K42" i="3" s="1"/>
  <c r="R67" i="5"/>
  <c r="H66" i="5"/>
  <c r="F66" i="5"/>
  <c r="E66" i="5"/>
  <c r="B66" i="5"/>
  <c r="C66" i="5" s="1"/>
  <c r="K66" i="5" s="1"/>
  <c r="H65" i="5"/>
  <c r="F65" i="5"/>
  <c r="E65" i="5"/>
  <c r="B65" i="5"/>
  <c r="J64" i="5"/>
  <c r="I64" i="5"/>
  <c r="H64" i="5"/>
  <c r="F64" i="5"/>
  <c r="E64" i="5"/>
  <c r="B64" i="5"/>
  <c r="H63" i="5"/>
  <c r="F63" i="5"/>
  <c r="E63" i="5"/>
  <c r="I62" i="5"/>
  <c r="H62" i="5"/>
  <c r="F62" i="5"/>
  <c r="E62" i="5"/>
  <c r="B62" i="5"/>
  <c r="I9" i="1" l="1"/>
  <c r="K9" i="1"/>
  <c r="E13" i="1"/>
  <c r="I12" i="1"/>
  <c r="M12" i="1"/>
  <c r="D63" i="5"/>
  <c r="G63" i="5" s="1"/>
  <c r="K63" i="5"/>
  <c r="D65" i="5"/>
  <c r="G65" i="5" s="1"/>
  <c r="D66" i="5"/>
  <c r="K65" i="5"/>
  <c r="C62" i="5"/>
  <c r="D62" i="5" s="1"/>
  <c r="C64" i="5"/>
  <c r="K64" i="5" s="1"/>
  <c r="L63" i="5" l="1"/>
  <c r="N63" i="5" s="1"/>
  <c r="S63" i="5" s="1"/>
  <c r="G62" i="5"/>
  <c r="L65" i="5"/>
  <c r="N65" i="5" s="1"/>
  <c r="S65" i="5" s="1"/>
  <c r="G66" i="5"/>
  <c r="L66" i="5" s="1"/>
  <c r="N66" i="5" s="1"/>
  <c r="S66" i="5" s="1"/>
  <c r="D64" i="5"/>
  <c r="G64" i="5" s="1"/>
  <c r="K62" i="5"/>
  <c r="O63" i="5" l="1"/>
  <c r="P63" i="5" s="1"/>
  <c r="L62" i="5"/>
  <c r="O65" i="5"/>
  <c r="P65" i="5" s="1"/>
  <c r="O66" i="5"/>
  <c r="P66" i="5" s="1"/>
  <c r="L64" i="5"/>
  <c r="N64" i="5" s="1"/>
  <c r="S64" i="5" s="1"/>
  <c r="L2" i="6"/>
  <c r="L3" i="6"/>
  <c r="K4" i="6"/>
  <c r="N62" i="5" l="1"/>
  <c r="O62" i="5" s="1"/>
  <c r="P62" i="5" s="1"/>
  <c r="S62" i="5"/>
  <c r="O64" i="5"/>
  <c r="P64" i="5" s="1"/>
  <c r="B12" i="8"/>
  <c r="P67" i="5" l="1"/>
  <c r="N12" i="1" l="1"/>
  <c r="D93" i="2" l="1"/>
  <c r="D82" i="2"/>
  <c r="F82" i="2" l="1"/>
  <c r="F93" i="2"/>
  <c r="J50" i="6"/>
  <c r="I50" i="6"/>
  <c r="H50" i="6"/>
  <c r="G50" i="6"/>
  <c r="F50" i="6"/>
  <c r="E50" i="6"/>
  <c r="D50" i="6"/>
  <c r="C50" i="6"/>
  <c r="K6" i="6"/>
  <c r="K8" i="6" s="1"/>
  <c r="J4" i="6"/>
  <c r="I4" i="6"/>
  <c r="H4" i="6"/>
  <c r="G4" i="6"/>
  <c r="F4" i="6"/>
  <c r="E4" i="6"/>
  <c r="D4" i="6"/>
  <c r="C4" i="6"/>
  <c r="AC55" i="5"/>
  <c r="AB55" i="5"/>
  <c r="P55" i="5"/>
  <c r="M55" i="5"/>
  <c r="J55" i="5"/>
  <c r="L4" i="6" l="1"/>
  <c r="K9" i="6" s="1"/>
  <c r="J10" i="6" s="1"/>
  <c r="Q63" i="5"/>
  <c r="Q65" i="5"/>
  <c r="Q66" i="5"/>
  <c r="Q62" i="5" l="1"/>
  <c r="Q64" i="5"/>
  <c r="B5" i="8"/>
  <c r="B3" i="8"/>
  <c r="B4" i="8"/>
  <c r="B2" i="8"/>
  <c r="E53" i="5"/>
  <c r="I53" i="5"/>
  <c r="M53" i="5"/>
  <c r="Q53" i="5"/>
  <c r="U53" i="5"/>
  <c r="Y53" i="5"/>
  <c r="AC53" i="5"/>
  <c r="AG53" i="5"/>
  <c r="AK53" i="5"/>
  <c r="F53" i="5"/>
  <c r="J53" i="5"/>
  <c r="N53" i="5"/>
  <c r="R53" i="5"/>
  <c r="V53" i="5"/>
  <c r="Z53" i="5"/>
  <c r="G53" i="5"/>
  <c r="O53" i="5"/>
  <c r="W53" i="5"/>
  <c r="AD53" i="5"/>
  <c r="AI53" i="5"/>
  <c r="AN53" i="5"/>
  <c r="H53" i="5"/>
  <c r="P53" i="5"/>
  <c r="X53" i="5"/>
  <c r="AE53" i="5"/>
  <c r="AJ53" i="5"/>
  <c r="C53" i="5"/>
  <c r="K53" i="5"/>
  <c r="S53" i="5"/>
  <c r="AA53" i="5"/>
  <c r="AF53" i="5"/>
  <c r="AL53" i="5"/>
  <c r="B53" i="5"/>
  <c r="D53" i="5"/>
  <c r="AH53" i="5"/>
  <c r="L53" i="5"/>
  <c r="AM53" i="5"/>
  <c r="T53" i="5"/>
  <c r="AB53" i="5"/>
  <c r="E51" i="5"/>
  <c r="I51" i="5"/>
  <c r="M51" i="5"/>
  <c r="Q51" i="5"/>
  <c r="U51" i="5"/>
  <c r="Y51" i="5"/>
  <c r="AC51" i="5"/>
  <c r="AG51" i="5"/>
  <c r="AK51" i="5"/>
  <c r="F51" i="5"/>
  <c r="J51" i="5"/>
  <c r="N51" i="5"/>
  <c r="R51" i="5"/>
  <c r="V51" i="5"/>
  <c r="Z51" i="5"/>
  <c r="AD51" i="5"/>
  <c r="AH51" i="5"/>
  <c r="AL51" i="5"/>
  <c r="C51" i="5"/>
  <c r="K51" i="5"/>
  <c r="S51" i="5"/>
  <c r="AA51" i="5"/>
  <c r="AI51" i="5"/>
  <c r="D51" i="5"/>
  <c r="L51" i="5"/>
  <c r="T51" i="5"/>
  <c r="AB51" i="5"/>
  <c r="AJ51" i="5"/>
  <c r="G51" i="5"/>
  <c r="O51" i="5"/>
  <c r="W51" i="5"/>
  <c r="AE51" i="5"/>
  <c r="AM51" i="5"/>
  <c r="P51" i="5"/>
  <c r="X51" i="5"/>
  <c r="B51" i="5"/>
  <c r="AF51" i="5"/>
  <c r="H51" i="5"/>
  <c r="AN51" i="5"/>
  <c r="C54" i="5"/>
  <c r="G54" i="5"/>
  <c r="K54" i="5"/>
  <c r="O54" i="5"/>
  <c r="S54" i="5"/>
  <c r="W54" i="5"/>
  <c r="AA54" i="5"/>
  <c r="AE54" i="5"/>
  <c r="AI54" i="5"/>
  <c r="AM54" i="5"/>
  <c r="H54" i="5"/>
  <c r="M54" i="5"/>
  <c r="R54" i="5"/>
  <c r="X54" i="5"/>
  <c r="AC54" i="5"/>
  <c r="AH54" i="5"/>
  <c r="AN54" i="5"/>
  <c r="D54" i="5"/>
  <c r="I54" i="5"/>
  <c r="N54" i="5"/>
  <c r="T54" i="5"/>
  <c r="Y54" i="5"/>
  <c r="AD54" i="5"/>
  <c r="AJ54" i="5"/>
  <c r="B54" i="5"/>
  <c r="E54" i="5"/>
  <c r="J54" i="5"/>
  <c r="P54" i="5"/>
  <c r="U54" i="5"/>
  <c r="Z54" i="5"/>
  <c r="AF54" i="5"/>
  <c r="AK54" i="5"/>
  <c r="Q54" i="5"/>
  <c r="AL54" i="5"/>
  <c r="V54" i="5"/>
  <c r="F54" i="5"/>
  <c r="AB54" i="5"/>
  <c r="L54" i="5"/>
  <c r="AG54" i="5"/>
  <c r="C52" i="5"/>
  <c r="G52" i="5"/>
  <c r="K52" i="5"/>
  <c r="O52" i="5"/>
  <c r="S52" i="5"/>
  <c r="W52" i="5"/>
  <c r="AA52" i="5"/>
  <c r="AE52" i="5"/>
  <c r="AI52" i="5"/>
  <c r="AM52" i="5"/>
  <c r="B52" i="5"/>
  <c r="D52" i="5"/>
  <c r="H52" i="5"/>
  <c r="L52" i="5"/>
  <c r="P52" i="5"/>
  <c r="T52" i="5"/>
  <c r="X52" i="5"/>
  <c r="AB52" i="5"/>
  <c r="AF52" i="5"/>
  <c r="AJ52" i="5"/>
  <c r="AN52" i="5"/>
  <c r="E52" i="5"/>
  <c r="M52" i="5"/>
  <c r="U52" i="5"/>
  <c r="AC52" i="5"/>
  <c r="AK52" i="5"/>
  <c r="F52" i="5"/>
  <c r="N52" i="5"/>
  <c r="V52" i="5"/>
  <c r="AD52" i="5"/>
  <c r="AL52" i="5"/>
  <c r="I52" i="5"/>
  <c r="Q52" i="5"/>
  <c r="Y52" i="5"/>
  <c r="AG52" i="5"/>
  <c r="J52" i="5"/>
  <c r="R52" i="5"/>
  <c r="Z52" i="5"/>
  <c r="AH52" i="5"/>
  <c r="C50" i="5"/>
  <c r="G50" i="5"/>
  <c r="K50" i="5"/>
  <c r="O50" i="5"/>
  <c r="S50" i="5"/>
  <c r="W50" i="5"/>
  <c r="AA50" i="5"/>
  <c r="AE50" i="5"/>
  <c r="AI50" i="5"/>
  <c r="AM50" i="5"/>
  <c r="D50" i="5"/>
  <c r="H50" i="5"/>
  <c r="L50" i="5"/>
  <c r="P50" i="5"/>
  <c r="T50" i="5"/>
  <c r="X50" i="5"/>
  <c r="AB50" i="5"/>
  <c r="AF50" i="5"/>
  <c r="AJ50" i="5"/>
  <c r="AN50" i="5"/>
  <c r="I50" i="5"/>
  <c r="Q50" i="5"/>
  <c r="Y50" i="5"/>
  <c r="AG50" i="5"/>
  <c r="B50" i="5"/>
  <c r="J50" i="5"/>
  <c r="R50" i="5"/>
  <c r="Z50" i="5"/>
  <c r="AH50" i="5"/>
  <c r="E50" i="5"/>
  <c r="M50" i="5"/>
  <c r="U50" i="5"/>
  <c r="AC50" i="5"/>
  <c r="AK50" i="5"/>
  <c r="F50" i="5"/>
  <c r="V50" i="5"/>
  <c r="AD50" i="5"/>
  <c r="AL50" i="5"/>
  <c r="N50" i="5"/>
  <c r="M4" i="6"/>
  <c r="N4" i="6" s="1"/>
  <c r="O4" i="6" s="1"/>
  <c r="P4" i="6" s="1"/>
  <c r="D51" i="4" s="1"/>
  <c r="D52" i="4" s="1"/>
  <c r="I56" i="5" l="1"/>
  <c r="B6" i="8"/>
  <c r="E13" i="3" s="1"/>
  <c r="AO54" i="5"/>
  <c r="AO51" i="5"/>
  <c r="C51" i="4"/>
  <c r="AO50" i="5"/>
  <c r="AN56" i="5" s="1"/>
  <c r="AO53" i="5"/>
  <c r="AO52" i="5"/>
  <c r="AD56" i="5"/>
  <c r="X56" i="5"/>
  <c r="H56" i="5"/>
  <c r="AL56" i="5"/>
  <c r="N56" i="5"/>
  <c r="F56" i="5"/>
  <c r="AA56" i="5"/>
  <c r="AI56" i="5"/>
  <c r="C56" i="5"/>
  <c r="J56" i="5"/>
  <c r="Z56" i="5"/>
  <c r="AG56" i="5"/>
  <c r="AE56" i="5"/>
  <c r="M56" i="5"/>
  <c r="AM56" i="5"/>
  <c r="L56" i="5"/>
  <c r="S56" i="5"/>
  <c r="AH56" i="5"/>
  <c r="R56" i="5"/>
  <c r="Q56" i="5"/>
  <c r="AC56" i="5"/>
  <c r="AB56" i="5"/>
  <c r="U56" i="5"/>
  <c r="E56" i="5"/>
  <c r="AK56" i="5"/>
  <c r="O56" i="5"/>
  <c r="K56" i="5"/>
  <c r="G56" i="5"/>
  <c r="AJ56" i="5"/>
  <c r="T56" i="5"/>
  <c r="B56" i="5"/>
  <c r="Y56" i="5"/>
  <c r="AF56" i="5"/>
  <c r="P56" i="5"/>
  <c r="D56" i="5"/>
  <c r="C52" i="4" l="1"/>
  <c r="N52" i="4" s="1"/>
  <c r="E79" i="3"/>
  <c r="E72" i="3"/>
  <c r="E65" i="3"/>
  <c r="E45" i="3"/>
  <c r="E49" i="3"/>
  <c r="E40" i="3"/>
  <c r="E17" i="3"/>
  <c r="E21" i="3"/>
  <c r="E25" i="3"/>
  <c r="E29" i="3"/>
  <c r="E33" i="3"/>
  <c r="E74" i="3"/>
  <c r="E68" i="3"/>
  <c r="E59" i="3"/>
  <c r="E39" i="3"/>
  <c r="E16" i="3"/>
  <c r="E20" i="3"/>
  <c r="E28" i="3"/>
  <c r="E32" i="3"/>
  <c r="E76" i="3"/>
  <c r="E66" i="3"/>
  <c r="E60" i="3"/>
  <c r="E46" i="3"/>
  <c r="E44" i="3"/>
  <c r="E37" i="3"/>
  <c r="E18" i="3"/>
  <c r="E22" i="3"/>
  <c r="E26" i="3"/>
  <c r="E30" i="3"/>
  <c r="E14" i="3"/>
  <c r="E77" i="3"/>
  <c r="E73" i="3"/>
  <c r="E67" i="3"/>
  <c r="E61" i="3"/>
  <c r="E47" i="3"/>
  <c r="E38" i="3"/>
  <c r="E15" i="3"/>
  <c r="E19" i="3"/>
  <c r="E23" i="3"/>
  <c r="E27" i="3"/>
  <c r="E31" i="3"/>
  <c r="E78" i="3"/>
  <c r="E48" i="3"/>
  <c r="E24" i="3"/>
  <c r="E8" i="2"/>
  <c r="N51" i="4"/>
  <c r="I57" i="5"/>
  <c r="B53" i="4" s="1"/>
  <c r="AM57" i="5"/>
  <c r="E53" i="4" s="1"/>
  <c r="E54" i="4" l="1"/>
  <c r="B54" i="4"/>
  <c r="B73" i="4"/>
  <c r="B74" i="4" s="1"/>
  <c r="G8" i="2"/>
  <c r="H8" i="2" s="1"/>
  <c r="E26" i="2"/>
  <c r="G26" i="2" s="1"/>
  <c r="H26" i="2" s="1"/>
  <c r="I4" i="1"/>
  <c r="G5" i="3"/>
  <c r="E8" i="3"/>
  <c r="E9" i="3"/>
  <c r="E7" i="3"/>
  <c r="E6" i="3"/>
  <c r="D79" i="3"/>
  <c r="D77" i="3"/>
  <c r="D76" i="3"/>
  <c r="D74" i="3"/>
  <c r="D73" i="3"/>
  <c r="D72" i="3"/>
  <c r="D60" i="3"/>
  <c r="D59" i="3"/>
  <c r="D26" i="3"/>
  <c r="D38" i="2"/>
  <c r="D39" i="2"/>
  <c r="D10" i="1"/>
  <c r="D9" i="1"/>
  <c r="E71" i="2" l="1"/>
  <c r="E52" i="2"/>
  <c r="E53" i="2"/>
  <c r="E70" i="2"/>
  <c r="E55" i="2"/>
  <c r="E57" i="2"/>
  <c r="E56" i="2"/>
  <c r="E35" i="2"/>
  <c r="E32" i="2"/>
  <c r="E50" i="2"/>
  <c r="E51" i="2"/>
  <c r="E28" i="2"/>
  <c r="E33" i="2"/>
  <c r="E72" i="2"/>
  <c r="D38" i="1"/>
  <c r="B78" i="4" s="1"/>
  <c r="F38" i="2"/>
  <c r="F39" i="2"/>
  <c r="D93" i="3"/>
  <c r="B80" i="4" s="1"/>
  <c r="I38" i="3"/>
  <c r="K38" i="3"/>
  <c r="I78" i="3"/>
  <c r="K78" i="3"/>
  <c r="I61" i="3"/>
  <c r="K61" i="3"/>
  <c r="K22" i="3"/>
  <c r="I22" i="3"/>
  <c r="G6" i="3"/>
  <c r="G93" i="3" s="1"/>
  <c r="L15" i="3"/>
  <c r="I15" i="3"/>
  <c r="K15" i="3"/>
  <c r="I65" i="3"/>
  <c r="K65" i="3"/>
  <c r="K20" i="3"/>
  <c r="I20" i="3"/>
  <c r="I29" i="3"/>
  <c r="K29" i="3"/>
  <c r="K44" i="3"/>
  <c r="I44" i="3"/>
  <c r="I67" i="3"/>
  <c r="K67" i="3"/>
  <c r="K13" i="3"/>
  <c r="I13" i="3"/>
  <c r="K77" i="3"/>
  <c r="I77" i="3"/>
  <c r="K32" i="3"/>
  <c r="I32" i="3"/>
  <c r="I45" i="3"/>
  <c r="K45" i="3"/>
  <c r="I76" i="3"/>
  <c r="K76" i="3"/>
  <c r="I48" i="3"/>
  <c r="K48" i="3"/>
  <c r="I31" i="3"/>
  <c r="K31" i="3"/>
  <c r="G8" i="3"/>
  <c r="I24" i="3"/>
  <c r="K24" i="3"/>
  <c r="K30" i="3"/>
  <c r="I30" i="3"/>
  <c r="K68" i="3"/>
  <c r="I68" i="3"/>
  <c r="G7" i="3"/>
  <c r="K46" i="3"/>
  <c r="I46" i="3"/>
  <c r="L17" i="3"/>
  <c r="K17" i="3"/>
  <c r="I17" i="3"/>
  <c r="I79" i="3"/>
  <c r="K79" i="3"/>
  <c r="K27" i="3"/>
  <c r="I27" i="3"/>
  <c r="K60" i="3"/>
  <c r="I60" i="3"/>
  <c r="I33" i="3"/>
  <c r="K33" i="3"/>
  <c r="K73" i="3"/>
  <c r="I73" i="3"/>
  <c r="L14" i="3"/>
  <c r="I14" i="3"/>
  <c r="K14" i="3"/>
  <c r="I47" i="3"/>
  <c r="K47" i="3"/>
  <c r="I19" i="3"/>
  <c r="K19" i="3"/>
  <c r="I21" i="3"/>
  <c r="K21" i="3"/>
  <c r="K59" i="3"/>
  <c r="I59" i="3"/>
  <c r="K66" i="3"/>
  <c r="I66" i="3"/>
  <c r="G9" i="3"/>
  <c r="I40" i="3"/>
  <c r="K40" i="3"/>
  <c r="I74" i="3"/>
  <c r="K74" i="3"/>
  <c r="I26" i="3"/>
  <c r="K26" i="3"/>
  <c r="K39" i="3"/>
  <c r="I39" i="3"/>
  <c r="I23" i="3"/>
  <c r="K23" i="3"/>
  <c r="I37" i="3"/>
  <c r="K37" i="3"/>
  <c r="I49" i="3"/>
  <c r="K49" i="3"/>
  <c r="I72" i="3"/>
  <c r="K72" i="3"/>
  <c r="L16" i="3"/>
  <c r="I16" i="3"/>
  <c r="K16" i="3"/>
  <c r="C155" i="2"/>
  <c r="G28" i="2" l="1"/>
  <c r="H28" i="2" s="1"/>
  <c r="G32" i="2"/>
  <c r="H32" i="2" s="1"/>
  <c r="G55" i="2"/>
  <c r="H55" i="2" s="1"/>
  <c r="G71" i="2"/>
  <c r="H71" i="2" s="1"/>
  <c r="G51" i="2"/>
  <c r="H51" i="2" s="1"/>
  <c r="G70" i="2"/>
  <c r="H70" i="2" s="1"/>
  <c r="G33" i="2"/>
  <c r="H33" i="2" s="1"/>
  <c r="G57" i="2"/>
  <c r="H57" i="2" s="1"/>
  <c r="G52" i="2"/>
  <c r="H52" i="2" s="1"/>
  <c r="G35" i="2"/>
  <c r="H35" i="2" s="1"/>
  <c r="G72" i="2"/>
  <c r="H72" i="2" s="1"/>
  <c r="G50" i="2"/>
  <c r="H50" i="2" s="1"/>
  <c r="G56" i="2"/>
  <c r="H56" i="2" s="1"/>
  <c r="G53" i="2"/>
  <c r="H53" i="2" s="1"/>
  <c r="I93" i="3"/>
  <c r="N66" i="4" s="1"/>
  <c r="N69" i="4" s="1"/>
  <c r="K93" i="3"/>
  <c r="N67" i="4" s="1"/>
  <c r="F116" i="2"/>
  <c r="C79" i="4" s="1"/>
  <c r="C81" i="4" s="1"/>
  <c r="D116" i="2"/>
  <c r="B79" i="4" s="1"/>
  <c r="B81" i="4" s="1"/>
  <c r="I66" i="4" l="1"/>
  <c r="H67" i="4"/>
  <c r="H68" i="4" s="1"/>
  <c r="L67" i="4"/>
  <c r="L68" i="4" s="1"/>
  <c r="E67" i="4"/>
  <c r="I67" i="4"/>
  <c r="I68" i="4" s="1"/>
  <c r="F67" i="4"/>
  <c r="F68" i="4" s="1"/>
  <c r="J67" i="4"/>
  <c r="J68" i="4" s="1"/>
  <c r="G67" i="4"/>
  <c r="G68" i="4" s="1"/>
  <c r="K67" i="4"/>
  <c r="K68" i="4" s="1"/>
  <c r="J66" i="4"/>
  <c r="F66" i="4"/>
  <c r="L66" i="4"/>
  <c r="K66" i="4"/>
  <c r="K69" i="4" s="1"/>
  <c r="G66" i="4"/>
  <c r="H66" i="4"/>
  <c r="M66" i="4"/>
  <c r="E66" i="4"/>
  <c r="B131" i="3"/>
  <c r="M67" i="4" l="1"/>
  <c r="M68" i="4" s="1"/>
  <c r="E68" i="4"/>
  <c r="G69" i="4"/>
  <c r="G70" i="4" s="1"/>
  <c r="E69" i="4"/>
  <c r="H69" i="4"/>
  <c r="H70" i="4" s="1"/>
  <c r="L69" i="4"/>
  <c r="L70" i="4" s="1"/>
  <c r="F69" i="4"/>
  <c r="F70" i="4" s="1"/>
  <c r="J69" i="4"/>
  <c r="J70" i="4" s="1"/>
  <c r="I69" i="4"/>
  <c r="I70" i="4" s="1"/>
  <c r="K70" i="4"/>
  <c r="E70" i="4"/>
  <c r="L78" i="3"/>
  <c r="L66" i="3"/>
  <c r="L60" i="3"/>
  <c r="L48" i="3"/>
  <c r="L40" i="3"/>
  <c r="L31" i="3"/>
  <c r="L20" i="3"/>
  <c r="L24" i="3"/>
  <c r="L76" i="3"/>
  <c r="L44" i="3"/>
  <c r="L19" i="3"/>
  <c r="L79" i="3"/>
  <c r="L67" i="3"/>
  <c r="L45" i="3"/>
  <c r="L49" i="3"/>
  <c r="L41" i="3"/>
  <c r="L32" i="3"/>
  <c r="L21" i="3"/>
  <c r="L7" i="3"/>
  <c r="L72" i="3"/>
  <c r="L37" i="3"/>
  <c r="L13" i="3"/>
  <c r="L73" i="3"/>
  <c r="L68" i="3"/>
  <c r="L46" i="3"/>
  <c r="L38" i="3"/>
  <c r="L42" i="3"/>
  <c r="L33" i="3"/>
  <c r="L22" i="3"/>
  <c r="L8" i="3"/>
  <c r="L65" i="3"/>
  <c r="L29" i="3"/>
  <c r="L6" i="3"/>
  <c r="L77" i="3"/>
  <c r="L74" i="3"/>
  <c r="L61" i="3"/>
  <c r="L47" i="3"/>
  <c r="L39" i="3"/>
  <c r="L30" i="3"/>
  <c r="L27" i="3"/>
  <c r="L23" i="3"/>
  <c r="L9" i="3"/>
  <c r="L59" i="3"/>
  <c r="L26" i="3"/>
  <c r="L5" i="3"/>
  <c r="M69" i="4" l="1"/>
  <c r="M70" i="4" s="1"/>
  <c r="N70" i="4" s="1"/>
  <c r="N68" i="4"/>
  <c r="L62" i="3"/>
  <c r="L10" i="3"/>
  <c r="W55" i="5" s="1"/>
  <c r="L34" i="3"/>
  <c r="L50" i="3"/>
  <c r="L92" i="3"/>
  <c r="L69" i="3"/>
  <c r="W56" i="5" l="1"/>
  <c r="AG57" i="5" s="1"/>
  <c r="D53" i="4" s="1"/>
  <c r="D73" i="4" s="1"/>
  <c r="L93" i="3"/>
  <c r="C77" i="1"/>
  <c r="D54" i="4" l="1"/>
  <c r="E83" i="2"/>
  <c r="E79" i="2"/>
  <c r="E39" i="2"/>
  <c r="E20" i="2"/>
  <c r="E16" i="2"/>
  <c r="E93" i="2"/>
  <c r="E73" i="2"/>
  <c r="G73" i="2" s="1"/>
  <c r="H73" i="2" s="1"/>
  <c r="E49" i="2"/>
  <c r="E13" i="2"/>
  <c r="E95" i="2"/>
  <c r="E82" i="2"/>
  <c r="E75" i="2"/>
  <c r="E38" i="2"/>
  <c r="E34" i="2"/>
  <c r="E30" i="2"/>
  <c r="E19" i="2"/>
  <c r="E11" i="2"/>
  <c r="E114" i="2"/>
  <c r="E80" i="2"/>
  <c r="E17" i="2"/>
  <c r="E85" i="2"/>
  <c r="E81" i="2"/>
  <c r="G81" i="2" s="1"/>
  <c r="H81" i="2" s="1"/>
  <c r="E74" i="2"/>
  <c r="E54" i="2"/>
  <c r="E29" i="2"/>
  <c r="E25" i="2"/>
  <c r="E14" i="2"/>
  <c r="E10" i="2"/>
  <c r="E84" i="2"/>
  <c r="E36" i="2"/>
  <c r="E21" i="2"/>
  <c r="E9" i="2"/>
  <c r="G9" i="2" s="1"/>
  <c r="H9" i="2" s="1"/>
  <c r="G36" i="2" l="1"/>
  <c r="H36" i="2" s="1"/>
  <c r="G25" i="2"/>
  <c r="G114" i="2"/>
  <c r="H114" i="2" s="1"/>
  <c r="G34" i="2"/>
  <c r="H34" i="2" s="1"/>
  <c r="G95" i="2"/>
  <c r="H95" i="2" s="1"/>
  <c r="G93" i="2"/>
  <c r="H93" i="2" s="1"/>
  <c r="G79" i="2"/>
  <c r="H79" i="2" s="1"/>
  <c r="G84" i="2"/>
  <c r="H84" i="2" s="1"/>
  <c r="G29" i="2"/>
  <c r="H29" i="2" s="1"/>
  <c r="G85" i="2"/>
  <c r="H85" i="2" s="1"/>
  <c r="G11" i="2"/>
  <c r="H11" i="2" s="1"/>
  <c r="G38" i="2"/>
  <c r="H38" i="2" s="1"/>
  <c r="G13" i="2"/>
  <c r="H13" i="2" s="1"/>
  <c r="G16" i="2"/>
  <c r="H16" i="2" s="1"/>
  <c r="G83" i="2"/>
  <c r="H83" i="2" s="1"/>
  <c r="G10" i="2"/>
  <c r="H10" i="2" s="1"/>
  <c r="G54" i="2"/>
  <c r="H54" i="2" s="1"/>
  <c r="G17" i="2"/>
  <c r="H17" i="2" s="1"/>
  <c r="G19" i="2"/>
  <c r="H19" i="2" s="1"/>
  <c r="G75" i="2"/>
  <c r="H75" i="2" s="1"/>
  <c r="G49" i="2"/>
  <c r="H49" i="2" s="1"/>
  <c r="G20" i="2"/>
  <c r="H20" i="2" s="1"/>
  <c r="G21" i="2"/>
  <c r="H21" i="2" s="1"/>
  <c r="G14" i="2"/>
  <c r="H14" i="2" s="1"/>
  <c r="G74" i="2"/>
  <c r="H74" i="2" s="1"/>
  <c r="G80" i="2"/>
  <c r="H80" i="2" s="1"/>
  <c r="G30" i="2"/>
  <c r="H30" i="2" s="1"/>
  <c r="G82" i="2"/>
  <c r="H82" i="2" s="1"/>
  <c r="G39" i="2"/>
  <c r="H39" i="2" s="1"/>
  <c r="M25" i="1"/>
  <c r="K25" i="1"/>
  <c r="I25" i="1"/>
  <c r="I17" i="1"/>
  <c r="M17" i="1"/>
  <c r="K17" i="1"/>
  <c r="M13" i="1"/>
  <c r="K13" i="1"/>
  <c r="I13" i="1"/>
  <c r="K14" i="1"/>
  <c r="I14" i="1"/>
  <c r="I11" i="1"/>
  <c r="K11" i="1"/>
  <c r="I8" i="1"/>
  <c r="M8" i="1"/>
  <c r="K20" i="1"/>
  <c r="M20" i="1"/>
  <c r="I20" i="1"/>
  <c r="I16" i="1"/>
  <c r="K16" i="1"/>
  <c r="I5" i="1"/>
  <c r="I31" i="1"/>
  <c r="M31" i="1"/>
  <c r="K31" i="1"/>
  <c r="M34" i="1"/>
  <c r="K34" i="1"/>
  <c r="I34" i="1"/>
  <c r="I21" i="1"/>
  <c r="M21" i="1"/>
  <c r="K21" i="1"/>
  <c r="M22" i="1"/>
  <c r="K22" i="1"/>
  <c r="I22" i="1"/>
  <c r="I15" i="1"/>
  <c r="K15" i="1"/>
  <c r="I10" i="1"/>
  <c r="I35" i="1"/>
  <c r="M35" i="1"/>
  <c r="K35" i="1"/>
  <c r="I36" i="1"/>
  <c r="M36" i="1"/>
  <c r="K36" i="1"/>
  <c r="M32" i="1"/>
  <c r="K32" i="1"/>
  <c r="I32" i="1"/>
  <c r="M33" i="1"/>
  <c r="K33" i="1"/>
  <c r="I33" i="1"/>
  <c r="H22" i="2" l="1"/>
  <c r="H76" i="2"/>
  <c r="H115" i="2"/>
  <c r="H25" i="2"/>
  <c r="H58" i="2" s="1"/>
  <c r="G116" i="2"/>
  <c r="N62" i="4" s="1"/>
  <c r="H88" i="2"/>
  <c r="K38" i="1"/>
  <c r="N56" i="4" s="1"/>
  <c r="M38" i="1"/>
  <c r="N57" i="4" s="1"/>
  <c r="I38" i="1"/>
  <c r="N61" i="4" s="1"/>
  <c r="N63" i="4" s="1"/>
  <c r="N4" i="1"/>
  <c r="N5" i="1"/>
  <c r="N8" i="1"/>
  <c r="N9" i="1"/>
  <c r="N10" i="1"/>
  <c r="N11" i="1"/>
  <c r="N13" i="1"/>
  <c r="N14" i="1"/>
  <c r="N15" i="1"/>
  <c r="N16" i="1"/>
  <c r="N17" i="1"/>
  <c r="N20" i="1"/>
  <c r="N21" i="1"/>
  <c r="N22" i="1"/>
  <c r="N58" i="4" l="1"/>
  <c r="H62" i="4"/>
  <c r="L62" i="4"/>
  <c r="I62" i="4"/>
  <c r="F62" i="4"/>
  <c r="J62" i="4"/>
  <c r="E62" i="4"/>
  <c r="M62" i="4" s="1"/>
  <c r="G62" i="4"/>
  <c r="K62" i="4"/>
  <c r="K56" i="4"/>
  <c r="G56" i="4"/>
  <c r="J56" i="4"/>
  <c r="F56" i="4"/>
  <c r="I56" i="4"/>
  <c r="E56" i="4"/>
  <c r="L56" i="4"/>
  <c r="H56" i="4"/>
  <c r="H116" i="2"/>
  <c r="N18" i="1"/>
  <c r="N23" i="1"/>
  <c r="G61" i="4"/>
  <c r="J61" i="4"/>
  <c r="J63" i="4" s="1"/>
  <c r="J64" i="4" s="1"/>
  <c r="L61" i="4"/>
  <c r="L63" i="4" s="1"/>
  <c r="L64" i="4" s="1"/>
  <c r="H61" i="4"/>
  <c r="I61" i="4"/>
  <c r="K61" i="4"/>
  <c r="N6" i="1"/>
  <c r="G57" i="4"/>
  <c r="I57" i="4"/>
  <c r="E57" i="4"/>
  <c r="K57" i="4"/>
  <c r="L57" i="4"/>
  <c r="J57" i="4"/>
  <c r="F57" i="4"/>
  <c r="H57" i="4"/>
  <c r="M57" i="4"/>
  <c r="N32" i="1"/>
  <c r="N33" i="1"/>
  <c r="N34" i="1"/>
  <c r="N35" i="1"/>
  <c r="N36" i="1"/>
  <c r="N31" i="1"/>
  <c r="N25" i="1"/>
  <c r="N26" i="1" s="1"/>
  <c r="I63" i="4" l="1"/>
  <c r="I64" i="4" s="1"/>
  <c r="G63" i="4"/>
  <c r="G64" i="4" s="1"/>
  <c r="H63" i="4"/>
  <c r="H64" i="4" s="1"/>
  <c r="F58" i="4"/>
  <c r="F59" i="4" s="1"/>
  <c r="H58" i="4"/>
  <c r="L58" i="4"/>
  <c r="L73" i="4" s="1"/>
  <c r="J58" i="4"/>
  <c r="J73" i="4" s="1"/>
  <c r="E58" i="4"/>
  <c r="G58" i="4"/>
  <c r="K63" i="4"/>
  <c r="K64" i="4" s="1"/>
  <c r="I58" i="4"/>
  <c r="K58" i="4"/>
  <c r="G59" i="4"/>
  <c r="M56" i="4"/>
  <c r="L59" i="4"/>
  <c r="AO55" i="5"/>
  <c r="V56" i="5"/>
  <c r="N37" i="1"/>
  <c r="N38" i="1" s="1"/>
  <c r="J59" i="4" l="1"/>
  <c r="G73" i="4"/>
  <c r="H73" i="4"/>
  <c r="I73" i="4"/>
  <c r="H59" i="4"/>
  <c r="K73" i="4"/>
  <c r="M58" i="4"/>
  <c r="E59" i="4"/>
  <c r="K59" i="4"/>
  <c r="I59" i="4"/>
  <c r="U57" i="5"/>
  <c r="C53" i="4" s="1"/>
  <c r="C73" i="4" s="1"/>
  <c r="AO56" i="5"/>
  <c r="D74" i="4"/>
  <c r="E61" i="4"/>
  <c r="E63" i="4" s="1"/>
  <c r="E64" i="4" s="1"/>
  <c r="M61" i="4"/>
  <c r="M63" i="4" s="1"/>
  <c r="M64" i="4" s="1"/>
  <c r="F61" i="4"/>
  <c r="F63" i="4" s="1"/>
  <c r="E73" i="4" l="1"/>
  <c r="M73" i="4"/>
  <c r="M74" i="4" s="1"/>
  <c r="F64" i="4"/>
  <c r="N64" i="4" s="1"/>
  <c r="F73" i="4"/>
  <c r="F74" i="4" s="1"/>
  <c r="M59" i="4"/>
  <c r="N59" i="4" s="1"/>
  <c r="N76" i="4" s="1"/>
  <c r="C54" i="4"/>
  <c r="N54" i="4" s="1"/>
  <c r="C74" i="4"/>
  <c r="N53" i="4"/>
  <c r="N73" i="4" s="1"/>
  <c r="L74" i="4"/>
  <c r="J74" i="4"/>
  <c r="H74" i="4"/>
  <c r="G74" i="4"/>
  <c r="K74" i="4"/>
  <c r="I74" i="4"/>
  <c r="N85" i="4" l="1"/>
  <c r="E74" i="4"/>
  <c r="N74" i="4" s="1"/>
  <c r="O73" i="4"/>
</calcChain>
</file>

<file path=xl/sharedStrings.xml><?xml version="1.0" encoding="utf-8"?>
<sst xmlns="http://schemas.openxmlformats.org/spreadsheetml/2006/main" count="1083" uniqueCount="489">
  <si>
    <t>Provide/educate jurisdictions and land owners regarding MEC Find Assessments process, format and procedures.</t>
  </si>
  <si>
    <t>OPERATION</t>
  </si>
  <si>
    <t>Require MEC Find Assessment format and procedures in construction support plans.</t>
  </si>
  <si>
    <t>Collect MEC Find Assessment information from owner UXO-qualified contractor.</t>
  </si>
  <si>
    <t>Notify Army, EPA and DTSC of MEC Finds. *</t>
  </si>
  <si>
    <t>Provide Army, EPA and DTSC with MEC Find Assessments.*</t>
  </si>
  <si>
    <t>Meet with Army, EPA and DTSC to present/clarify MEC Find Assessment.*</t>
  </si>
  <si>
    <t>Receive Army, EPA and DTSC concurrence on MEC Find Assessment -OR- direction on additional investigation required.*</t>
  </si>
  <si>
    <t>Inform jurisdiction and owner of concurrence or additional investigation required.</t>
  </si>
  <si>
    <t>MAINTENANCE</t>
  </si>
  <si>
    <t>Maintain files containing Army, EPA and DTSC MEC Assessment concurrence.</t>
  </si>
  <si>
    <t xml:space="preserve">Update/change MEC Find Assessments format and procedures as required. </t>
  </si>
  <si>
    <t>MONITORING</t>
  </si>
  <si>
    <t>INSPECTION</t>
  </si>
  <si>
    <t xml:space="preserve">N/A </t>
  </si>
  <si>
    <t>REPORTING</t>
  </si>
  <si>
    <t xml:space="preserve">Report MEC finds,* </t>
  </si>
  <si>
    <t xml:space="preserve">provide MEC Find Assessments Reports,* </t>
  </si>
  <si>
    <t xml:space="preserve">provide additional investigation results,* </t>
  </si>
  <si>
    <t xml:space="preserve">provide MEC Find Assessment records to Army, </t>
  </si>
  <si>
    <t xml:space="preserve">EPA and DTSC for CERCLA reporting,* </t>
  </si>
  <si>
    <t>* Also, requires Regulatory oversight funds to support tasks like: document reviews, meetings and site visits.</t>
  </si>
  <si>
    <t>IMPLEMENTATION</t>
  </si>
  <si>
    <t>Corrective actions necessary to assure effectiveness of LUC remedy.</t>
  </si>
  <si>
    <t>Necessary changes to avoid future noncompliance.</t>
  </si>
  <si>
    <t>Develop procedures and documents to notify Army, EPA and DTSC of: *</t>
  </si>
  <si>
    <t>MEC-related data identified during property use.</t>
  </si>
  <si>
    <t>LUCIP/OMP inconsistencies, causes, and evaluate and implement necessary changes.</t>
  </si>
  <si>
    <t>Develop procedures and documents for Army, EPA and DTSC to: *</t>
  </si>
  <si>
    <t>Develop procedures and documents for jurisdictions and owners to:</t>
  </si>
  <si>
    <t>Comply with LUC monitoring and reporting obligations.</t>
  </si>
  <si>
    <t>Develop procedures and documents for FORA to:</t>
  </si>
  <si>
    <t>Contract with UXO consultant and field staff to undertake additional response actions as required by EPA and DTSC.</t>
  </si>
  <si>
    <t>Procedures and documents for annual land use control monitoring and reporting.</t>
  </si>
  <si>
    <t>Provide jurisdictions and owners with additional response/remedy modification information:</t>
  </si>
  <si>
    <t>Notices of planned property conveyance.</t>
  </si>
  <si>
    <t>LUC enforcement.</t>
  </si>
  <si>
    <t>Ensure jurisdictions and owners fulfill their LUC operation and maintenance obligations.</t>
  </si>
  <si>
    <t>Annual land use control monitoring and reporting.</t>
  </si>
  <si>
    <t>LUCIP/OMP notifications.</t>
  </si>
  <si>
    <t>Additional response/remedy modifications.</t>
  </si>
  <si>
    <t>Notice of planned property conveyance.</t>
  </si>
  <si>
    <t>Take action to:</t>
  </si>
  <si>
    <t>Implement/enforce remedy modifications.</t>
  </si>
  <si>
    <t>Implement/conduct further response actions – if required under AOC and ESCA.</t>
  </si>
  <si>
    <t>Process Explanations of Significant Difference (ESD) public outreach and documentation.</t>
  </si>
  <si>
    <t>Process ROD Amendments public outreach and documentation.</t>
  </si>
  <si>
    <t>Documentation.</t>
  </si>
  <si>
    <t>Public comment periods.</t>
  </si>
  <si>
    <t>Public meetings – with recorded public comments.</t>
  </si>
  <si>
    <t>Noticing.</t>
  </si>
  <si>
    <t>Perform annual site inspections.</t>
  </si>
  <si>
    <t>Review previous year’s building permits.</t>
  </si>
  <si>
    <t>Review previous year’s deeds.</t>
  </si>
  <si>
    <t>Review previous year’s 911 call logs for MEC calls.</t>
  </si>
  <si>
    <t>Review previous years MEC Recognition Safety Training records.</t>
  </si>
  <si>
    <t>Review changed site conditions.</t>
  </si>
  <si>
    <t>Alert and work with jurisdictions to develop annual LUC MEC reports.</t>
  </si>
  <si>
    <t>Compile and submit annual LUC MEC reports to Army, EPA and DTSC.*</t>
  </si>
  <si>
    <t>Respond to Army, EPA and DTSC annual LUC MEC report deficiency notices.*</t>
  </si>
  <si>
    <t>Update and notify jurisdictions, land owners, Army, EPA and DTSC of changes to:*</t>
  </si>
  <si>
    <t>Requirements for reports on failures of jurisdictions and land owners to perform annual LUC monitoring and reporting.</t>
  </si>
  <si>
    <t>LUCIP/OMP ineffectiveness notifications.</t>
  </si>
  <si>
    <t>Additional response/remedy modification.</t>
  </si>
  <si>
    <t>Implement/enforce LUC non-compliance corrective actions.*</t>
  </si>
  <si>
    <t>Monitor deeds, jurisdictions and land owners to ensure compliance with requirements for:</t>
  </si>
  <si>
    <t>Annual land monitoring and reporting.</t>
  </si>
  <si>
    <t>LUCIP/OMP ineffectiveness notifications; additional response/remedy modification.</t>
  </si>
  <si>
    <t>Activities inconsistent with LUC Remedy objectives.</t>
  </si>
  <si>
    <t>Monitor LUC non-compliance corrective actions.</t>
  </si>
  <si>
    <t xml:space="preserve">INSPECTION    </t>
  </si>
  <si>
    <t>Periodic inspection of ESCA properties to confirm compliance with requirements for:</t>
  </si>
  <si>
    <t>Changes in land use.</t>
  </si>
  <si>
    <t>Changes in site conditions.</t>
  </si>
  <si>
    <t>Ownership/occupancy changes.</t>
  </si>
  <si>
    <t>MEC finds.</t>
  </si>
  <si>
    <t>LUC maintenance.</t>
  </si>
  <si>
    <t>LUCIP/OMP ineffectiveness.</t>
  </si>
  <si>
    <t>LUC enforcement</t>
  </si>
  <si>
    <t xml:space="preserve">REPORTING    </t>
  </si>
  <si>
    <t>Reports on failures of jurisdictions and land owners to perform: *</t>
  </si>
  <si>
    <t>Annual LUC monitoring and reporting.</t>
  </si>
  <si>
    <t>Provide Army, EPA and DTSC with reports on: *</t>
  </si>
  <si>
    <t>Activities inconsistent with LUCIP/OMP remedy objectives</t>
  </si>
  <si>
    <t>Changes made to comply with LUCs.</t>
  </si>
  <si>
    <t>Upcoming property transfers.</t>
  </si>
  <si>
    <t>LUC inconsistencies.</t>
  </si>
  <si>
    <t>LUC non-compliance.</t>
  </si>
  <si>
    <t>LUC non-compliance corrective actions.</t>
  </si>
  <si>
    <t>Proposed additional response actions and remedy modifications.</t>
  </si>
  <si>
    <t>Causes for inconsistences with LUC Remedy objective.</t>
  </si>
  <si>
    <t>Evaluation of LUC Remedy objective inconsistencies.</t>
  </si>
  <si>
    <t>Proposed changes to make to eliminate LUC remedy objective inconsistencies.</t>
  </si>
  <si>
    <t>ESD documentation.</t>
  </si>
  <si>
    <t>Record of Decision\Amendment documentation.</t>
  </si>
  <si>
    <t>Provide jurisdictions and owners reports to support:</t>
  </si>
  <si>
    <t>Notices of non-compliance with LUCs.</t>
  </si>
  <si>
    <t>Army, EPA and DTSC review and approval of LUC compliance measures: *</t>
  </si>
  <si>
    <t>Notice to cease development activities for non-compliance.</t>
  </si>
  <si>
    <t xml:space="preserve">IMPLEMENTATION  </t>
  </si>
  <si>
    <t xml:space="preserve">Develop procedures and documents with Army, EPA, DTSC and jurisdictions for:* </t>
  </si>
  <si>
    <t>LUC requirement, monitoring, inspection, reporting, and enforcement.</t>
  </si>
  <si>
    <t>MEC recognition safety training requirement, monitoring, inspection, reporting, enforcement.</t>
  </si>
  <si>
    <t>UXO construction support requirement, monitoring, inspection, reporting, and enforcement.</t>
  </si>
  <si>
    <t>Residential use restriction requirement, monitoring, inspection, reporting, and enforcement.</t>
  </si>
  <si>
    <t xml:space="preserve">OPERATION    </t>
  </si>
  <si>
    <t>Review for Residential Use Restriction compliance:</t>
  </si>
  <si>
    <t>Previous year’s property transfers.</t>
  </si>
  <si>
    <t>Previous year’s property transfer deeds.</t>
  </si>
  <si>
    <t>Previous year’s development projects.</t>
  </si>
  <si>
    <t>Upcoming development projects.</t>
  </si>
  <si>
    <t>Compile materials for annual LUC Status Report for:</t>
  </si>
  <si>
    <t>MEC Recognition Safety Training statistics.</t>
  </si>
  <si>
    <t>Jurisdiction MEC Recognition Safety Training status.</t>
  </si>
  <si>
    <t>UXO Construction Support statistics.</t>
  </si>
  <si>
    <t>Jurisdiction and owner construction support status.</t>
  </si>
  <si>
    <t>Previous year’s property transfer.</t>
  </si>
  <si>
    <t>Construction Support Requirements.</t>
  </si>
  <si>
    <t>Anomaly Avoidance techniques.</t>
  </si>
  <si>
    <t>Work with and notify jurisdictions and property owners on:</t>
  </si>
  <si>
    <t>Residential use restriction requirements for deeds.</t>
  </si>
  <si>
    <t>Property owner residential use restriction obligations.</t>
  </si>
  <si>
    <t>Verification of compliance with residential use restrictions.</t>
  </si>
  <si>
    <t>Provide/educate jurisdictions, land owners and their qualified UXO contractors on the LUC, munitions recognition safety training, construction support, and residential use restrictions procedures and documents.</t>
  </si>
  <si>
    <t>Inform Army, EPA and DTSC on failures of jurisdictions and land owners to perform LUC, munitions recognition safety training, construction support, and residential use restrictions procedures and documents. *</t>
  </si>
  <si>
    <t xml:space="preserve">MAINTENANCE </t>
  </si>
  <si>
    <t>Maintain MEC Recognition Safety Training:</t>
  </si>
  <si>
    <t>Training materials.</t>
  </si>
  <si>
    <t>Training records.</t>
  </si>
  <si>
    <t>Training violation records.</t>
  </si>
  <si>
    <t>Training corrective action records. MEC Safety Guide.</t>
  </si>
  <si>
    <t>Maintain, update and notify jurisdictions, land owners, Army, EPA and DTSC of changes to: *</t>
  </si>
  <si>
    <t>LUCs.</t>
  </si>
  <si>
    <t>Munitions recognition safety training.</t>
  </si>
  <si>
    <t>Construction support.</t>
  </si>
  <si>
    <t>Residential use restrictions.</t>
  </si>
  <si>
    <t>LUC procedures.</t>
  </si>
  <si>
    <t>LUC documents.</t>
  </si>
  <si>
    <t xml:space="preserve">MONITORING    </t>
  </si>
  <si>
    <t>Monitor deeds, jurisdictions and land owners to ensure conformity with requirements for LUC, munitions recognition safety training, construction support and residential use restrictions procedures and documents.</t>
  </si>
  <si>
    <t>Monitor jurisdictions and owners during MEC Recognition Safety Training:</t>
  </si>
  <si>
    <t>Jurisdiction training implementation.</t>
  </si>
  <si>
    <t>Distribution of MEC Safety Guide.</t>
  </si>
  <si>
    <t>Notification during Excavation Permit process.</t>
  </si>
  <si>
    <t>Annual reporting.</t>
  </si>
  <si>
    <t>Monitor jurisdiction and owner construction support implementation and enforcement through:</t>
  </si>
  <si>
    <t>Digging and excavation ordinance.</t>
  </si>
  <si>
    <t>Excavation Permit process.</t>
  </si>
  <si>
    <t xml:space="preserve">INSPECTION     </t>
  </si>
  <si>
    <t>Periodic inspection of ESCA properties to ensure conformity with requirements for:</t>
  </si>
  <si>
    <t xml:space="preserve">munitions recognition safety training, </t>
  </si>
  <si>
    <t xml:space="preserve">construction support, </t>
  </si>
  <si>
    <t>residential use restrictions procedures and documents.</t>
  </si>
  <si>
    <t xml:space="preserve">LUCs </t>
  </si>
  <si>
    <t xml:space="preserve">REPORTING   </t>
  </si>
  <si>
    <t>Reports to Army, EPA and DTSC of: *</t>
  </si>
  <si>
    <t>MEC-related data Identified during construction support.</t>
  </si>
  <si>
    <t>Annual MEC Recognition Safety Training report.</t>
  </si>
  <si>
    <t>Annual MEC Construction Support report.</t>
  </si>
  <si>
    <t>MEC finds during Construction Support.</t>
  </si>
  <si>
    <t>Additional MEC investigations/actions.</t>
  </si>
  <si>
    <t>Past year’s property transfers.</t>
  </si>
  <si>
    <t>Compliance with residential use restrictions.</t>
  </si>
  <si>
    <t>LUC.</t>
  </si>
  <si>
    <t>munitions recognition safety training.</t>
  </si>
  <si>
    <t>construction support.</t>
  </si>
  <si>
    <t>residential use restrictions.</t>
  </si>
  <si>
    <t>procedures and documents.</t>
  </si>
  <si>
    <t>Provide Army, EPA and DTSC with reports on Conformity/non-conformity with requirements for:  *</t>
  </si>
  <si>
    <t>Provide Army, EPA and DTSC with reports on Changes to requirements for:  *</t>
  </si>
  <si>
    <t>Units</t>
  </si>
  <si>
    <t>hours</t>
  </si>
  <si>
    <t>Notes: * Also, requires Regulatory oversight funds to support tasks like: document reviews, meetings and site visits.</t>
  </si>
  <si>
    <t>Need</t>
  </si>
  <si>
    <t xml:space="preserve"> Major improvements reasonably anticipated</t>
  </si>
  <si>
    <t>MPC, E-side Pkw, trails</t>
  </si>
  <si>
    <t>Trails</t>
  </si>
  <si>
    <t>Commercial</t>
  </si>
  <si>
    <t>Range relocation, fence install</t>
  </si>
  <si>
    <t xml:space="preserve">Road widening, Park </t>
  </si>
  <si>
    <t>Roads, parking lots</t>
  </si>
  <si>
    <t>Park</t>
  </si>
  <si>
    <t>Range, commercial</t>
  </si>
  <si>
    <t>Areas without RQA (Assume 2 Assessments per Major Improvement)</t>
  </si>
  <si>
    <t>Assessments</t>
  </si>
  <si>
    <t xml:space="preserve">Parker Flats Phase 1 </t>
  </si>
  <si>
    <t>Parker Flats Phase II - trails</t>
  </si>
  <si>
    <t>County North</t>
  </si>
  <si>
    <t>MOUT</t>
  </si>
  <si>
    <t>DRO/Monterey</t>
  </si>
  <si>
    <t>Laguna Seca Parking</t>
  </si>
  <si>
    <t>CSUMB Off Campus -Trails</t>
  </si>
  <si>
    <t>Seaside</t>
  </si>
  <si>
    <t xml:space="preserve">IAR Range 45 </t>
  </si>
  <si>
    <t>Future East Garrison - Trails</t>
  </si>
  <si>
    <t>Areas with RQA (Assume 1 Assessments per Major Improvement)</t>
  </si>
  <si>
    <t>Major improvements reasonably anticipated</t>
  </si>
  <si>
    <t>Endowment Parcels</t>
  </si>
  <si>
    <t>Parker Flats Phase II</t>
  </si>
  <si>
    <t>Seaside,1, 2, 3 &amp; 4</t>
  </si>
  <si>
    <t>East Garrison Housing</t>
  </si>
  <si>
    <t>21 hours each x 39 Assessments</t>
  </si>
  <si>
    <t>Preform MEC Find Assessments -Document development</t>
  </si>
  <si>
    <t>Total Operations costs</t>
  </si>
  <si>
    <t>Total Implementation Costs</t>
  </si>
  <si>
    <t>Total Inspection costs</t>
  </si>
  <si>
    <t>Total Reporting costs</t>
  </si>
  <si>
    <t>Total POST-CLOSURE MEC FIND ASSESSMENTS costs</t>
  </si>
  <si>
    <t>IMPLEMENTATION - Setup Remedy</t>
  </si>
  <si>
    <t>Total Monitoring costs</t>
  </si>
  <si>
    <t xml:space="preserve">FY 16-17  </t>
  </si>
  <si>
    <t>Rate</t>
  </si>
  <si>
    <t>Total</t>
  </si>
  <si>
    <t>% of time</t>
  </si>
  <si>
    <t>Item Total                    For 2018-2028</t>
  </si>
  <si>
    <t>Total Implementation costs</t>
  </si>
  <si>
    <t>Total Maintenance costs</t>
  </si>
  <si>
    <t>Total Monitoring Costs</t>
  </si>
  <si>
    <t>Areas with RQA (Assume 3 CSPs per Major Improvement)</t>
  </si>
  <si>
    <t>Stewardship/O&amp;M: Post-site closure long term obligations for review; monitoring; operations and maintenance activities, and reporting required to maintain remedy effectiveness.</t>
  </si>
  <si>
    <t>CSPs</t>
  </si>
  <si>
    <t>N/A</t>
  </si>
  <si>
    <t>Inform Army, EPA and DTSC on failures of jurisdictions and land owners to perform: * Reg. Oversight = 8 hours per report (see below)</t>
  </si>
  <si>
    <t>In Operation above</t>
  </si>
  <si>
    <t>In Monitoring Above</t>
  </si>
  <si>
    <t>In LUCIP/OMP ineffectiveness notifications above</t>
  </si>
  <si>
    <t>In LUC Enforcement and Additional response/remedy above</t>
  </si>
  <si>
    <t>In Notice of planned property transfers above</t>
  </si>
  <si>
    <t xml:space="preserve">In Process ROD Amendments public outreach and documentation above </t>
  </si>
  <si>
    <t>In Process Explanations of Significant Difference (ESD) public outreach and documentation above</t>
  </si>
  <si>
    <t>In CSP Related Reporting above</t>
  </si>
  <si>
    <t>Additional response actions and remedial objectives: * Reg. Oversight costs paid by Development</t>
  </si>
  <si>
    <t>Total Long Term Management</t>
  </si>
  <si>
    <t>Item Total                    For 2018-2037</t>
  </si>
  <si>
    <t>Provide for ESD and ROD Amendments: Paid for by Development</t>
  </si>
  <si>
    <t>For additional response actions and remedial actions:*  Reg. Oversight and FORA paid by development</t>
  </si>
  <si>
    <t>LUC MANAGEMENT: FORA team was unable to estimate or foresee in 2006.  Based on ESCA Grant requirements, remedies selected, RODs, and LUCIP/OMP FORA LUC responsibilities are Army obligations and should/may include:</t>
  </si>
  <si>
    <t>In Operations and Maintenance sections above</t>
  </si>
  <si>
    <t>Coordination with jurisdictions, owners, Army, EPA and DTSC on: * Reg. Oversight paid for by development</t>
  </si>
  <si>
    <t>See Above</t>
  </si>
  <si>
    <t>NA</t>
  </si>
  <si>
    <t>Total LUC Management Costs</t>
  </si>
  <si>
    <t>Total Hours</t>
  </si>
  <si>
    <t>Staff II</t>
  </si>
  <si>
    <t>Senior Staff</t>
  </si>
  <si>
    <t>LUCIP/OMP -failure</t>
  </si>
  <si>
    <t>Communicate, coordinate and track additional response actions.</t>
  </si>
  <si>
    <t>Receive and transmit sixty (60) day property conveyance notice to  other agencies, persons or entities to ensure LUCs implementation.</t>
  </si>
  <si>
    <t>Cease development when remedy not protective. Notify owner when able to recommence.</t>
  </si>
  <si>
    <t>Identify/report LUCIP/OMP inconsistency causes, evaluate and implement adjustments/modifications to avoid noncompliance.</t>
  </si>
  <si>
    <t>Notify the jurisdictions/property owners of LUC responsibilities.</t>
  </si>
  <si>
    <t>Provide/educate jurisdictions, land owners and qualified UXO contractors re:</t>
  </si>
  <si>
    <t>Notices of LUCIP/OMP violations and departures.</t>
  </si>
  <si>
    <t>30-50 hours of FORA time to develop + 10 hours to process comments and get approval.</t>
  </si>
  <si>
    <t>One time - Jurisdiction staff + developer/outside agency staff x 7 jurisdictions at 4 hours each = 56 hours</t>
  </si>
  <si>
    <t xml:space="preserve">Develop standard format and procedures for MEC Find Assessments. </t>
  </si>
  <si>
    <t>2 meetings x 3 hour x 39 assessments</t>
  </si>
  <si>
    <t>Provide/educate jurisdictions, land owners and Unexploded Ordnance (UXO) contractors with MEC Find Assessments format and procedures.</t>
  </si>
  <si>
    <t>Continue to provide/educate jurisdictions, land owners and UXO contractors on the MEC Find Assessments format and procedures.</t>
  </si>
  <si>
    <t>Monitor jurisdictions, land owners and UXO contractors to insure they are implementing and following MEC Find Assessments format and procedures.</t>
  </si>
  <si>
    <t>Provide Army, EPA and DTSC with updated MEC Find Assessments format and procedures.*</t>
  </si>
  <si>
    <t xml:space="preserve">  inspection would occur in activities above.</t>
  </si>
  <si>
    <t>FORA work with Regulators and Jurisdictions 2x40 hours = 80 hours</t>
  </si>
  <si>
    <t>Jurisdictions 20 hours per CSP (69) = 1380 hours</t>
  </si>
  <si>
    <t>FORA 4 hours per CSP (69) = 276 hours</t>
  </si>
  <si>
    <t>FORA based on Jurisdictions' info at 4 hours per CSP  hours x 69 CSPs = 276 hours</t>
  </si>
  <si>
    <t>FORA based on Jurisdiction's Info at 2 hours per CSP (69) =  138 hours</t>
  </si>
  <si>
    <t>1 hour per CSP, Assume 3 CSPs per Major Improvement = 1 x 69 = 69 hours</t>
  </si>
  <si>
    <t>4 hour per CSP = 4 x 69 = 276</t>
  </si>
  <si>
    <t>Alert and work with jurisdictions and property owners to: Seaside, DRO, County, CSUMB, Vets Cemetery., MPC, Monterey</t>
  </si>
  <si>
    <t>4 hour per MEC Find , Assume MEC Finds per MEC Find Assessment assumptions (see below)  = 4 x 39 = 156</t>
  </si>
  <si>
    <t>8 hour per CSP, Assume 3 CSPs per Major Improvement = 8 x 69 = 552</t>
  </si>
  <si>
    <t>Assumption - Total Number of Assessments on ESCA Property</t>
  </si>
  <si>
    <t>MPC, E-side Parkway, trails</t>
  </si>
  <si>
    <t>Future East Garrison</t>
  </si>
  <si>
    <t>Total Number of Assessments</t>
  </si>
  <si>
    <t>Assumption - Total Number of Construction Support Plans (CSP) on ESCA Property</t>
  </si>
  <si>
    <t>Areas without RQA (Assume 3 CSPs per  Major Improvement)</t>
  </si>
  <si>
    <t>Total Number of CSPs</t>
  </si>
  <si>
    <t>Cost with overhead, should = Fully loaded hourly wage + overhead for office, admin and supplies.</t>
  </si>
  <si>
    <t>2019</t>
  </si>
  <si>
    <t>2020</t>
  </si>
  <si>
    <t>2021</t>
  </si>
  <si>
    <t>2022</t>
  </si>
  <si>
    <t>2023</t>
  </si>
  <si>
    <t>2024</t>
  </si>
  <si>
    <t>2025</t>
  </si>
  <si>
    <t>2026</t>
  </si>
  <si>
    <t>2027</t>
  </si>
  <si>
    <t>2028</t>
  </si>
  <si>
    <t>Group 1</t>
  </si>
  <si>
    <t>Fieldwork</t>
  </si>
  <si>
    <t>Seaside CRUP Removal</t>
  </si>
  <si>
    <t>County CRUP Removal</t>
  </si>
  <si>
    <t>ESD</t>
  </si>
  <si>
    <t>RI/FS</t>
  </si>
  <si>
    <t>Proposed Plan</t>
  </si>
  <si>
    <t>ROD</t>
  </si>
  <si>
    <t>LUCIP/OMP</t>
  </si>
  <si>
    <t>Site Closure</t>
  </si>
  <si>
    <t>CERCLA Warranty</t>
  </si>
  <si>
    <t>Out-Deed</t>
  </si>
  <si>
    <t>Property Transfer</t>
  </si>
  <si>
    <t>Implement LTOs</t>
  </si>
  <si>
    <t>Group 2</t>
  </si>
  <si>
    <t>Group 3</t>
  </si>
  <si>
    <t>Group 4</t>
  </si>
  <si>
    <t xml:space="preserve">IAR </t>
  </si>
  <si>
    <t>Archive</t>
  </si>
  <si>
    <t xml:space="preserve">Total </t>
  </si>
  <si>
    <t>Gross</t>
  </si>
  <si>
    <t>Long</t>
  </si>
  <si>
    <t>Pers ER</t>
  </si>
  <si>
    <t>Flex</t>
  </si>
  <si>
    <t>health</t>
  </si>
  <si>
    <t>Medicare</t>
  </si>
  <si>
    <t>SUI/ETT</t>
  </si>
  <si>
    <t>Cell/Car</t>
  </si>
  <si>
    <t>WC</t>
  </si>
  <si>
    <t>Per hour cost of personnel</t>
  </si>
  <si>
    <t>Totals</t>
  </si>
  <si>
    <t>Program Manager</t>
  </si>
  <si>
    <t>Billing</t>
  </si>
  <si>
    <t>Exec. Officer</t>
  </si>
  <si>
    <t>Controller</t>
  </si>
  <si>
    <t>Coordinator</t>
  </si>
  <si>
    <t>Legal Review</t>
  </si>
  <si>
    <t xml:space="preserve">Monthly Total </t>
  </si>
  <si>
    <t>FY07/08</t>
  </si>
  <si>
    <t>FY08/09</t>
  </si>
  <si>
    <t>FY09/10</t>
  </si>
  <si>
    <t>FY10/11</t>
  </si>
  <si>
    <t>FY11/12</t>
  </si>
  <si>
    <t>FY12/13</t>
  </si>
  <si>
    <t>FY13/14</t>
  </si>
  <si>
    <t>FY14/15</t>
  </si>
  <si>
    <t>FY15/16</t>
  </si>
  <si>
    <t>AVG FY</t>
  </si>
  <si>
    <t>EPA Year invoice</t>
  </si>
  <si>
    <t>DTSC Year invoice</t>
  </si>
  <si>
    <t>To get to 2020</t>
  </si>
  <si>
    <t xml:space="preserve">15% contingency </t>
  </si>
  <si>
    <t>EPA + DTSC Invoices</t>
  </si>
  <si>
    <t>Regulator Funds</t>
  </si>
  <si>
    <t>At FORA</t>
  </si>
  <si>
    <t>Deposit with EPA</t>
  </si>
  <si>
    <t>Available FY15/16</t>
  </si>
  <si>
    <t>Fund-Years Remaining</t>
  </si>
  <si>
    <t>Funds = Zero March, 2018</t>
  </si>
  <si>
    <t>EPA Cumulative</t>
  </si>
  <si>
    <t>DTSC Cumulative</t>
  </si>
  <si>
    <t>EPA + DTSC Cumulative</t>
  </si>
  <si>
    <t>ESCA Documents produced</t>
  </si>
  <si>
    <t>Year</t>
  </si>
  <si>
    <t>YR-2008</t>
  </si>
  <si>
    <t>YR-2009</t>
  </si>
  <si>
    <t>YR-2010</t>
  </si>
  <si>
    <t>YR-2011</t>
  </si>
  <si>
    <t>YR-2012</t>
  </si>
  <si>
    <t>YR-2013</t>
  </si>
  <si>
    <t>YR-2014</t>
  </si>
  <si>
    <t>YR-2015</t>
  </si>
  <si>
    <t>YR-2016</t>
  </si>
  <si>
    <t>Docs per year</t>
  </si>
  <si>
    <t>FORA Long Term Management</t>
  </si>
  <si>
    <t>FORA LUC Management</t>
  </si>
  <si>
    <t>FORA P-C MEC Assessment</t>
  </si>
  <si>
    <t>Present Value</t>
  </si>
  <si>
    <t>LTOs</t>
  </si>
  <si>
    <t>Imp</t>
  </si>
  <si>
    <t>ESCA Work Flow</t>
  </si>
  <si>
    <t>Grant Amendment per Year</t>
  </si>
  <si>
    <t>Future Value (@2%)</t>
  </si>
  <si>
    <t xml:space="preserve">Yearly Total </t>
  </si>
  <si>
    <t>Book Keeping</t>
  </si>
  <si>
    <t>Executive Officer</t>
  </si>
  <si>
    <t>FORA Rates with Fully Loaded Overhead</t>
  </si>
  <si>
    <t>Program/Project Manager</t>
  </si>
  <si>
    <t>Coordinator/Assist.</t>
  </si>
  <si>
    <t>ARCADIS Rates - Private</t>
  </si>
  <si>
    <t>Regulator Reimbursement</t>
  </si>
  <si>
    <t xml:space="preserve">to get to 2020 with contingency </t>
  </si>
  <si>
    <t xml:space="preserve">Div. by FY Avg. </t>
  </si>
  <si>
    <t>2 hrs. per CSP, Assume 3 CSPs per Major Improvement = 2 x 69 = 138</t>
  </si>
  <si>
    <t>1 meeting x 2 hours x 39 assessments</t>
  </si>
  <si>
    <t>Cost with overhead, should = Fully loaded hours wage + overhead for office, admin and supplies.</t>
  </si>
  <si>
    <t>FORA ESCA Program Archive</t>
  </si>
  <si>
    <r>
      <t xml:space="preserve">POST-CLOSURE MEC FIND ASSESSMENTS: </t>
    </r>
    <r>
      <rPr>
        <sz val="11"/>
        <color theme="1"/>
        <rFont val="Calibri"/>
        <family val="2"/>
        <scheme val="minor"/>
      </rPr>
      <t xml:space="preserve"> FORA team was unable to estimate or foresee in 2006 the need for MEC find assessments, as remedy not selected or prescribed.  Based on ESCA Grant requirements, remedies selected, Records of Decisions (ROD), and LUCIP/OMP, FORA MEC Find Assessment, Remedy Implementation responsibilities are Army obligations and should/may include:</t>
    </r>
  </si>
  <si>
    <r>
      <t xml:space="preserve">LONG TERM MANAGEMENT:     </t>
    </r>
    <r>
      <rPr>
        <sz val="11"/>
        <color theme="1"/>
        <rFont val="Calibri"/>
        <family val="2"/>
        <scheme val="minor"/>
      </rPr>
      <t>FORA team was unable to estimate or foresee in 2006, as remedy not selected or proscribed.  Based on ESCA Grant requirements, remedies selected, RODs, and LUCIP/OMP FORA long term management responsibilities are Army obligations and should/may include:</t>
    </r>
  </si>
  <si>
    <t>FORA Admin (April 1, 2017 - June 30, 2020)</t>
  </si>
  <si>
    <t>12.  Cost estimated at one time and not subject to future increases.</t>
  </si>
  <si>
    <t>11.  Assumes full up-front payment for these costs with funds deposited in an interest bearing mechanism.</t>
  </si>
  <si>
    <t>9.     Assumes FORA Fiscal Year July1 to June 30.</t>
  </si>
  <si>
    <t>8.     Future Value or Inflation Impact calculations are not incorporated in the LTO cost estimates unless specifically noted.</t>
  </si>
  <si>
    <t>7.     ESCA LTO estimates are exclusive of regulatory reimbursement costs.</t>
  </si>
  <si>
    <t>5.     The ESCA Grant Amendment yearly costs are calculated at Present Value (PV) and also Future Value (FV) based on when they occur over the life of the ESCA Grant.</t>
  </si>
  <si>
    <t>3.     The PM FTE must be supported by either one FTE Administrative position in FORA if extended or with partial FTEs in another organization with required combined skills set.</t>
  </si>
  <si>
    <t>2.     The LTOs (Post-Closure MEC Find Assessment, Long Term Management and LUC Management) will all be performed by this FTE – with consulting support as needed.</t>
  </si>
  <si>
    <t>1.     The implementation, oversight and/or management of the Long Term Obligations (LTOs) emanating from the Records of Decision remedies require one full-time (FTE) at the Program Manager (PM) level - to meet grant requirements while maintaining continuity and institutional knowledge.</t>
  </si>
  <si>
    <t>Assumptions:</t>
  </si>
  <si>
    <t>(To go with and explain spreadsheets)</t>
  </si>
  <si>
    <t>ESCA Grant Amendment Assumptions</t>
  </si>
  <si>
    <t>10.  Assumes FORA or comparable single successor continues past June 30, 2020.</t>
  </si>
  <si>
    <t>1 hour per MEC find, Assume 39 finds per table to right (8 years)</t>
  </si>
  <si>
    <t>15-25 hours per year x 8 years = 160 hours</t>
  </si>
  <si>
    <t>35-45 hours per year x 8 years = 320 hours</t>
  </si>
  <si>
    <t>Annually - Jurisdiction staff (1) + developer/outside agency staff (1) x 7 jurisdictions at 1 hours each = 2hrs x 7 x 8 years =112 hours</t>
  </si>
  <si>
    <t>Semi-Annually - Jurisdiction staff (1) + developer/outside agency staff (1) x 7 jurisdictions at 1 hours each = 2 hours x7  x 2 x 8 years  = 224</t>
  </si>
  <si>
    <t>Annually - 8 hours x 8 years = 64</t>
  </si>
  <si>
    <t>Annually - 2 hours to compile reports and submit x 8 years = 16 hours</t>
  </si>
  <si>
    <t>Annually - 4 hours to compile reports and submit x 8 years = 32 hours</t>
  </si>
  <si>
    <t>Annually - Jurisdiction 7 jurisdictions at 1 hours each = 7 hours x 8 years = 56 hours</t>
  </si>
  <si>
    <t>FORA work with Jurisdictions  40 hours x 8 years = 320 hours</t>
  </si>
  <si>
    <t>FORA work with Jurisdictions 20 hours x 8 years = 160 hours</t>
  </si>
  <si>
    <t>FORA 4 hours per year for 8 years = 4 x 8 = 32 hours</t>
  </si>
  <si>
    <t>FORA 1 hour per half year for 7 jurisdictions for 8 years = 1 x 2 x 7x 8 = 112 hours</t>
  </si>
  <si>
    <t>FORA work with Jurisdictions 1 hours per month for 8 years = 1 x 12 x 8 = 96 hours</t>
  </si>
  <si>
    <t>hourly</t>
  </si>
  <si>
    <t>fully loaded</t>
  </si>
  <si>
    <t>Annually - Jurisdiction staff (1) + developer/outside agency staff (1) x 7 jurisdictions at 1 hours each = 2 hours x 7 x 8 years  = 112</t>
  </si>
  <si>
    <t>Total contracted to outside specialists</t>
  </si>
  <si>
    <t>Research Army and ESCA archives for previous MEC cleanup/find information - Contract to outside specialist.</t>
  </si>
  <si>
    <t xml:space="preserve"> Sixty (60) day prior notice of conveyance of property - failure</t>
  </si>
  <si>
    <t>10-20 hours</t>
  </si>
  <si>
    <t>30 -50 hours</t>
  </si>
  <si>
    <t>Annually - Jurisdiction  7 jurisdictions x  1 hours each x 8 years = 56 hours</t>
  </si>
  <si>
    <t>FORA work with 7 Jurisdictions  1 hours ea. x 8 years = 56 hours</t>
  </si>
  <si>
    <t>FORA with 7 Jurisdictions at 2 hours per year for 8 years = 7 x 2 x 8 years = 112 hours</t>
  </si>
  <si>
    <t>FORA 2 hours per half year for 8 years =  2 x 2 x 8 years = 32 hours</t>
  </si>
  <si>
    <t>FORA based on Jurisdiction's Info at  2 hour per year x 8 years = 16 hours</t>
  </si>
  <si>
    <t>Web-based training materials- Contract to outside specialist.</t>
  </si>
  <si>
    <t>Web-hosting services - Contract to outside specialist.</t>
  </si>
  <si>
    <t>FORA Rates - Public</t>
  </si>
  <si>
    <t>Jurisdictions 1 hr. per month for 8 years =12 x 8 = 96</t>
  </si>
  <si>
    <t>Hourly 100% Fully Loaded</t>
  </si>
  <si>
    <t>% Fully loaded Applied</t>
  </si>
  <si>
    <t>Total Percent of estimate given Army 3/17</t>
  </si>
  <si>
    <t>County Development/Park</t>
  </si>
  <si>
    <t>With LUCIP update work</t>
  </si>
  <si>
    <t>FY16/17</t>
  </si>
  <si>
    <t>3/17 version</t>
  </si>
  <si>
    <t>Other errors in Flex, health, Cell/Car and 457 used 2080 instead of 1750</t>
  </si>
  <si>
    <t>Primarily due error in pension cost - employer bares full amount</t>
  </si>
  <si>
    <t>Change in employee</t>
  </si>
  <si>
    <t>Primarily due to change in wages effective 10/1/17</t>
  </si>
  <si>
    <t>Difference</t>
  </si>
  <si>
    <t>2028 (1/2yr)</t>
  </si>
  <si>
    <t>8 years= hours</t>
  </si>
  <si>
    <t>Annual staff hrs.</t>
  </si>
  <si>
    <t xml:space="preserve">Explanation </t>
  </si>
  <si>
    <t>Admin Cost @17%</t>
  </si>
  <si>
    <t>Annually - Jurisdiction staff (1) + developer/outside agency staff (1) x 7 jurisdictions at 4 hours each = 56 hours x 8 years = 448 hours</t>
  </si>
  <si>
    <t>Annually - Jurisdiction staff (1) + developer/outside agency staff (1) x 7 jurisdictions at 2 hours each = 28 hours x 8 years = 224 hours</t>
  </si>
  <si>
    <t>Annually - meet with Jurisdiction staff (1) + developer/outside agency staff (1) x 7 jurisdictions at 2 hours each = 28 hours x 8 years = 224 hours</t>
  </si>
  <si>
    <t>2 hours per MEC find, Assume 39 finds per table to right (8 years)</t>
  </si>
  <si>
    <t xml:space="preserve"> 2 hours per MEC find, Assume 39 finds per table to right (8 years)</t>
  </si>
  <si>
    <t>Contractor</t>
  </si>
  <si>
    <t xml:space="preserve">FORA </t>
  </si>
  <si>
    <t xml:space="preserve">Hours </t>
  </si>
  <si>
    <t>Cost</t>
  </si>
  <si>
    <t>P-C MEC Assessments</t>
  </si>
  <si>
    <t xml:space="preserve">     FORA</t>
  </si>
  <si>
    <t xml:space="preserve">     Contractor</t>
  </si>
  <si>
    <t>Contractor hrs</t>
  </si>
  <si>
    <t xml:space="preserve"> Failure to comply with LUC requirement, monitoring, inspection, reporting, and enforcement.</t>
  </si>
  <si>
    <t xml:space="preserve"> Upcoming property transfers.</t>
  </si>
  <si>
    <t>Long Term Management</t>
  </si>
  <si>
    <t>LUC Management</t>
  </si>
  <si>
    <t xml:space="preserve">% </t>
  </si>
  <si>
    <t>%</t>
  </si>
  <si>
    <t>Contract Senior Staff</t>
  </si>
  <si>
    <t>Contract Staff II</t>
  </si>
  <si>
    <t>FORA Contract Support Staff during MEC Asses.</t>
  </si>
  <si>
    <t>FORA Contract Support Staff</t>
  </si>
  <si>
    <t xml:space="preserve">     Contract Support Staff during Assessments</t>
  </si>
  <si>
    <t>Asmnt Spt Staff</t>
  </si>
  <si>
    <t>FORA</t>
  </si>
  <si>
    <t>Hours</t>
  </si>
  <si>
    <t>8 hour per report per Major Improvement = 8 x 1 x 23 = 192</t>
  </si>
  <si>
    <t>FORA Admin (April 1, 2017 - June 30, 2020) Contract Support</t>
  </si>
  <si>
    <t>Contractor/Legal Review</t>
  </si>
  <si>
    <t xml:space="preserve">     FORA P-C MEC Assessments</t>
  </si>
  <si>
    <t xml:space="preserve">     FORA Long Term Management</t>
  </si>
  <si>
    <t>Subtotal</t>
  </si>
  <si>
    <t>Grant Total</t>
  </si>
  <si>
    <t>4.     To ensure continuity and the ability to replace the PM FTE and Administrative FTE as needed, the LTO costs estimated at FORA fully-loaded rates.</t>
  </si>
  <si>
    <t>6.     The ESCA Grant Amendment has been estimated/calculated using a June 30, 2028 scenario.</t>
  </si>
  <si>
    <t>Equiptment</t>
  </si>
  <si>
    <t>Personnel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</si>
</sst>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b/>
      <sz val="16"/>
      <color theme="1"/>
      <name val="Calibri"/>
      <family val="2"/>
      <scheme val="minor"/>
    </font>
    <font>
      <b/>
      <i/>
      <sz val="11"/>
      <color theme="1"/>
      <name val="Calibri"/>
      <family val="2"/>
      <scheme val="minor"/>
    </font>
    <font>
      <b/>
      <i/>
      <sz val="16"/>
      <color rgb="FFFF0000"/>
      <name val="Calibri"/>
      <family val="2"/>
      <scheme val="minor"/>
    </font>
    <font>
      <b/>
      <sz val="11"/>
      <color theme="1"/>
      <name val="Arial"/>
      <family val="2"/>
    </font>
    <font>
      <b/>
      <sz val="12"/>
      <color theme="1"/>
      <name val="Calibri"/>
      <family val="2"/>
      <scheme val="minor"/>
    </font>
  </fonts>
  <fills count="22">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FC000"/>
        <bgColor indexed="64"/>
      </patternFill>
    </fill>
    <fill>
      <patternFill patternType="solid">
        <fgColor theme="7"/>
        <bgColor indexed="64"/>
      </patternFill>
    </fill>
    <fill>
      <patternFill patternType="solid">
        <fgColor theme="4" tint="-0.499984740745262"/>
        <bgColor indexed="64"/>
      </patternFill>
    </fill>
    <fill>
      <patternFill patternType="solid">
        <fgColor rgb="FF92D050"/>
        <bgColor indexed="64"/>
      </patternFill>
    </fill>
    <fill>
      <patternFill patternType="solid">
        <fgColor theme="1"/>
        <bgColor indexed="64"/>
      </patternFill>
    </fill>
    <fill>
      <patternFill patternType="solid">
        <fgColor theme="8" tint="0.59999389629810485"/>
        <bgColor indexed="64"/>
      </patternFill>
    </fill>
    <fill>
      <patternFill patternType="solid">
        <fgColor rgb="FF002060"/>
        <bgColor indexed="64"/>
      </patternFill>
    </fill>
    <fill>
      <patternFill patternType="solid">
        <fgColor theme="4" tint="0.39997558519241921"/>
        <bgColor indexed="64"/>
      </patternFill>
    </fill>
    <fill>
      <patternFill patternType="solid">
        <fgColor rgb="FFFF9999"/>
        <bgColor indexed="64"/>
      </patternFill>
    </fill>
    <fill>
      <patternFill patternType="solid">
        <fgColor theme="5" tint="-0.249977111117893"/>
        <bgColor indexed="64"/>
      </patternFill>
    </fill>
    <fill>
      <patternFill patternType="solid">
        <fgColor rgb="FFFF33CC"/>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rgb="FFFFFFFF"/>
        <bgColor indexed="64"/>
      </patternFill>
    </fill>
  </fills>
  <borders count="62">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522">
    <xf numFmtId="0" fontId="0" fillId="0" borderId="0" xfId="0"/>
    <xf numFmtId="0" fontId="2" fillId="0" borderId="2" xfId="0" applyFont="1" applyBorder="1" applyAlignment="1">
      <alignment horizontal="left" vertical="top" wrapText="1"/>
    </xf>
    <xf numFmtId="0" fontId="2" fillId="3" borderId="3" xfId="0" applyFont="1" applyFill="1" applyBorder="1" applyAlignment="1">
      <alignment horizontal="left" vertical="top"/>
    </xf>
    <xf numFmtId="0" fontId="2" fillId="3" borderId="7" xfId="0" applyFont="1" applyFill="1" applyBorder="1" applyAlignment="1">
      <alignment horizontal="center" vertical="top"/>
    </xf>
    <xf numFmtId="0" fontId="2" fillId="0" borderId="2" xfId="0" applyFont="1" applyBorder="1" applyAlignment="1">
      <alignment horizontal="center" vertical="center" wrapText="1"/>
    </xf>
    <xf numFmtId="0" fontId="2" fillId="0" borderId="0" xfId="0" applyFont="1" applyFill="1" applyBorder="1" applyAlignment="1">
      <alignment horizontal="center" vertical="center" wrapText="1"/>
    </xf>
    <xf numFmtId="0" fontId="2" fillId="6" borderId="9" xfId="0" applyFont="1" applyFill="1" applyBorder="1" applyAlignment="1">
      <alignment horizontal="right" vertical="top" wrapText="1"/>
    </xf>
    <xf numFmtId="44" fontId="0" fillId="4" borderId="2" xfId="1" applyFont="1" applyFill="1" applyBorder="1" applyAlignment="1">
      <alignment horizontal="center" vertical="center"/>
    </xf>
    <xf numFmtId="44" fontId="0" fillId="0" borderId="0" xfId="1" applyFont="1" applyFill="1" applyBorder="1" applyAlignment="1">
      <alignment horizontal="left" vertical="top"/>
    </xf>
    <xf numFmtId="9" fontId="0" fillId="0" borderId="0" xfId="2" applyFont="1" applyFill="1" applyBorder="1" applyAlignment="1">
      <alignment horizontal="left" vertical="top"/>
    </xf>
    <xf numFmtId="0" fontId="2" fillId="0" borderId="2" xfId="0" applyFont="1" applyFill="1" applyBorder="1" applyAlignment="1">
      <alignment horizontal="left" vertical="top" wrapText="1"/>
    </xf>
    <xf numFmtId="0" fontId="2" fillId="0" borderId="2" xfId="0" applyFont="1" applyFill="1" applyBorder="1" applyAlignment="1">
      <alignment horizontal="center" vertical="center" wrapText="1"/>
    </xf>
    <xf numFmtId="44" fontId="3" fillId="0" borderId="0" xfId="1" applyFont="1" applyFill="1" applyBorder="1" applyAlignment="1">
      <alignment horizontal="left" vertical="top"/>
    </xf>
    <xf numFmtId="44" fontId="0" fillId="0" borderId="2" xfId="1" applyFont="1" applyFill="1" applyBorder="1" applyAlignment="1">
      <alignment horizontal="left" vertical="top"/>
    </xf>
    <xf numFmtId="0" fontId="2" fillId="3" borderId="4" xfId="0" applyFont="1" applyFill="1" applyBorder="1" applyAlignment="1">
      <alignment horizontal="left" vertical="top" wrapText="1"/>
    </xf>
    <xf numFmtId="49" fontId="2" fillId="0" borderId="0" xfId="0" applyNumberFormat="1" applyFont="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0" fillId="0" borderId="0" xfId="0" applyAlignment="1">
      <alignment vertical="center"/>
    </xf>
    <xf numFmtId="0" fontId="2" fillId="3" borderId="15" xfId="0" applyFont="1" applyFill="1" applyBorder="1"/>
    <xf numFmtId="44" fontId="0" fillId="3" borderId="2" xfId="1" applyFont="1" applyFill="1" applyBorder="1"/>
    <xf numFmtId="0" fontId="2" fillId="5" borderId="31" xfId="0" applyFont="1" applyFill="1" applyBorder="1" applyAlignment="1">
      <alignment horizontal="left" vertical="center"/>
    </xf>
    <xf numFmtId="0" fontId="2" fillId="0" borderId="9" xfId="0" applyFont="1" applyBorder="1" applyAlignment="1">
      <alignment horizontal="left" vertical="center" wrapText="1"/>
    </xf>
    <xf numFmtId="165" fontId="2" fillId="0" borderId="10" xfId="1" applyNumberFormat="1" applyFont="1" applyBorder="1" applyAlignment="1">
      <alignment horizontal="left" vertical="center" wrapText="1"/>
    </xf>
    <xf numFmtId="165" fontId="1" fillId="9" borderId="10" xfId="1" applyNumberFormat="1" applyFont="1" applyFill="1" applyBorder="1" applyAlignment="1">
      <alignment horizontal="left" vertical="center" wrapText="1"/>
    </xf>
    <xf numFmtId="0" fontId="2" fillId="0" borderId="0" xfId="0" applyFont="1" applyAlignment="1">
      <alignment horizontal="left" vertical="center" wrapText="1"/>
    </xf>
    <xf numFmtId="165" fontId="1" fillId="13" borderId="10" xfId="1" applyNumberFormat="1" applyFont="1" applyFill="1" applyBorder="1" applyAlignment="1">
      <alignment horizontal="left" vertical="center" wrapText="1"/>
    </xf>
    <xf numFmtId="165" fontId="1" fillId="13" borderId="17" xfId="1" applyNumberFormat="1"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0" borderId="10" xfId="0" applyFont="1" applyBorder="1" applyAlignment="1">
      <alignment horizontal="left" vertical="center" wrapText="1"/>
    </xf>
    <xf numFmtId="165" fontId="2" fillId="14" borderId="10" xfId="0" applyNumberFormat="1" applyFont="1" applyFill="1" applyBorder="1" applyAlignment="1">
      <alignment horizontal="left" vertical="center" wrapText="1"/>
    </xf>
    <xf numFmtId="165" fontId="2" fillId="14" borderId="17" xfId="0" applyNumberFormat="1" applyFont="1" applyFill="1" applyBorder="1" applyAlignment="1">
      <alignment horizontal="left" vertical="center" wrapText="1"/>
    </xf>
    <xf numFmtId="165" fontId="2" fillId="0" borderId="0" xfId="0" applyNumberFormat="1" applyFont="1" applyAlignment="1">
      <alignment horizontal="left" vertical="center" wrapText="1"/>
    </xf>
    <xf numFmtId="165" fontId="2" fillId="2" borderId="21" xfId="0" applyNumberFormat="1" applyFont="1" applyFill="1" applyBorder="1" applyAlignment="1">
      <alignment horizontal="left" vertical="center" wrapText="1"/>
    </xf>
    <xf numFmtId="0" fontId="2" fillId="0" borderId="0" xfId="0" applyFont="1" applyBorder="1" applyAlignment="1">
      <alignment vertical="center"/>
    </xf>
    <xf numFmtId="0" fontId="2" fillId="0" borderId="0" xfId="0" applyFont="1" applyBorder="1"/>
    <xf numFmtId="165" fontId="2" fillId="0" borderId="0" xfId="0" applyNumberFormat="1" applyFont="1" applyBorder="1" applyAlignment="1">
      <alignment vertical="center"/>
    </xf>
    <xf numFmtId="0" fontId="2" fillId="0" borderId="0" xfId="0" applyFont="1" applyAlignment="1">
      <alignment horizontal="center" vertical="center" wrapText="1"/>
    </xf>
    <xf numFmtId="165" fontId="2" fillId="0" borderId="0" xfId="0" applyNumberFormat="1" applyFont="1"/>
    <xf numFmtId="0" fontId="2" fillId="0" borderId="0" xfId="0" applyFont="1"/>
    <xf numFmtId="0" fontId="0" fillId="0" borderId="0" xfId="0" applyAlignment="1">
      <alignment horizontal="right" vertical="center"/>
    </xf>
    <xf numFmtId="165" fontId="1" fillId="0" borderId="0" xfId="1" applyNumberFormat="1" applyFont="1" applyAlignment="1">
      <alignment vertical="center"/>
    </xf>
    <xf numFmtId="165" fontId="0" fillId="0" borderId="38" xfId="1" applyNumberFormat="1" applyFont="1" applyBorder="1" applyAlignment="1">
      <alignment vertical="center"/>
    </xf>
    <xf numFmtId="165" fontId="0" fillId="0" borderId="0" xfId="0" applyNumberFormat="1" applyAlignment="1">
      <alignment vertical="center"/>
    </xf>
    <xf numFmtId="0" fontId="2" fillId="0" borderId="0" xfId="0" applyFont="1" applyAlignment="1">
      <alignment vertical="center" wrapText="1"/>
    </xf>
    <xf numFmtId="2" fontId="2" fillId="0" borderId="1" xfId="0" applyNumberFormat="1" applyFont="1" applyBorder="1" applyAlignment="1">
      <alignment horizontal="center" vertical="center"/>
    </xf>
    <xf numFmtId="2" fontId="2" fillId="0" borderId="0" xfId="0" applyNumberFormat="1" applyFont="1" applyBorder="1" applyAlignment="1">
      <alignment horizontal="center" vertical="center"/>
    </xf>
    <xf numFmtId="0" fontId="2" fillId="0" borderId="0" xfId="0" applyFont="1" applyAlignment="1">
      <alignment vertical="center"/>
    </xf>
    <xf numFmtId="165" fontId="0" fillId="0" borderId="0" xfId="1" applyNumberFormat="1" applyFont="1" applyAlignment="1">
      <alignment horizontal="right" vertical="center"/>
    </xf>
    <xf numFmtId="0" fontId="0" fillId="0" borderId="0" xfId="0" applyFont="1" applyAlignment="1">
      <alignment horizontal="right" vertical="center"/>
    </xf>
    <xf numFmtId="165" fontId="1" fillId="0" borderId="0" xfId="1" applyNumberFormat="1" applyFont="1"/>
    <xf numFmtId="0" fontId="0" fillId="0" borderId="0" xfId="0" applyFont="1" applyAlignment="1">
      <alignment vertical="center"/>
    </xf>
    <xf numFmtId="0" fontId="2" fillId="0" borderId="0" xfId="0" applyFont="1" applyAlignment="1">
      <alignment horizontal="right" vertical="center"/>
    </xf>
    <xf numFmtId="164" fontId="0" fillId="13" borderId="0" xfId="3" applyNumberFormat="1" applyFont="1" applyFill="1" applyAlignment="1">
      <alignment horizontal="center" vertical="center"/>
    </xf>
    <xf numFmtId="165" fontId="2" fillId="0" borderId="0" xfId="1" applyNumberFormat="1" applyFont="1" applyBorder="1" applyAlignment="1">
      <alignment vertical="center"/>
    </xf>
    <xf numFmtId="0" fontId="2" fillId="0" borderId="9" xfId="0" applyFont="1" applyBorder="1" applyAlignment="1">
      <alignment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vertical="center"/>
    </xf>
    <xf numFmtId="0" fontId="2" fillId="3" borderId="4" xfId="0" applyFont="1" applyFill="1" applyBorder="1"/>
    <xf numFmtId="0" fontId="2" fillId="0" borderId="0" xfId="0" applyFont="1" applyFill="1" applyBorder="1"/>
    <xf numFmtId="0" fontId="2" fillId="3" borderId="9" xfId="0" applyFont="1" applyFill="1" applyBorder="1"/>
    <xf numFmtId="0" fontId="2" fillId="5" borderId="11" xfId="0" applyFont="1" applyFill="1" applyBorder="1" applyAlignment="1">
      <alignment horizontal="left" vertical="center"/>
    </xf>
    <xf numFmtId="165" fontId="0" fillId="15" borderId="2" xfId="1" applyNumberFormat="1" applyFont="1" applyFill="1" applyBorder="1"/>
    <xf numFmtId="0" fontId="2" fillId="3" borderId="40" xfId="0" applyFont="1" applyFill="1" applyBorder="1" applyAlignment="1">
      <alignment horizontal="center"/>
    </xf>
    <xf numFmtId="0" fontId="0" fillId="0" borderId="0" xfId="0" applyFill="1" applyAlignment="1">
      <alignment horizontal="left" vertical="center"/>
    </xf>
    <xf numFmtId="0" fontId="2" fillId="0" borderId="0" xfId="0" applyFont="1" applyFill="1" applyAlignment="1">
      <alignment horizontal="left" vertical="center"/>
    </xf>
    <xf numFmtId="165" fontId="0" fillId="0" borderId="0" xfId="1" applyNumberFormat="1" applyFont="1" applyBorder="1"/>
    <xf numFmtId="0" fontId="2" fillId="3" borderId="12" xfId="0" applyFont="1" applyFill="1" applyBorder="1" applyAlignment="1">
      <alignment horizontal="center"/>
    </xf>
    <xf numFmtId="0" fontId="2" fillId="0" borderId="19" xfId="0" applyFont="1" applyFill="1" applyBorder="1" applyAlignment="1">
      <alignment horizontal="left" vertical="center" wrapText="1"/>
    </xf>
    <xf numFmtId="49" fontId="0" fillId="0" borderId="36" xfId="0" applyNumberFormat="1" applyFont="1" applyBorder="1" applyAlignment="1">
      <alignment horizontal="center" vertical="center"/>
    </xf>
    <xf numFmtId="49" fontId="0" fillId="0" borderId="43" xfId="0" applyNumberFormat="1" applyFont="1" applyBorder="1" applyAlignment="1">
      <alignment horizontal="center" vertical="center"/>
    </xf>
    <xf numFmtId="49" fontId="0" fillId="0" borderId="19" xfId="0" applyNumberFormat="1" applyFont="1" applyBorder="1" applyAlignment="1">
      <alignment horizontal="center" vertical="center"/>
    </xf>
    <xf numFmtId="0" fontId="0" fillId="0" borderId="16" xfId="0" applyFont="1" applyFill="1" applyBorder="1"/>
    <xf numFmtId="0" fontId="0" fillId="0" borderId="15" xfId="0" applyFont="1" applyFill="1" applyBorder="1"/>
    <xf numFmtId="0" fontId="0" fillId="0" borderId="27" xfId="0" applyFont="1" applyBorder="1" applyAlignment="1">
      <alignment horizontal="left" vertical="center"/>
    </xf>
    <xf numFmtId="0" fontId="0" fillId="0" borderId="2" xfId="0" applyFont="1" applyBorder="1"/>
    <xf numFmtId="0" fontId="0" fillId="0" borderId="6" xfId="0" applyFont="1" applyBorder="1"/>
    <xf numFmtId="0" fontId="0" fillId="10" borderId="2" xfId="0" applyFont="1" applyFill="1" applyBorder="1"/>
    <xf numFmtId="0" fontId="0" fillId="0" borderId="0" xfId="0" applyFont="1" applyAlignment="1">
      <alignment horizontal="left" vertical="center"/>
    </xf>
    <xf numFmtId="0" fontId="0" fillId="0" borderId="0" xfId="0" applyFont="1"/>
    <xf numFmtId="0" fontId="0" fillId="0" borderId="0" xfId="0" applyFont="1" applyFill="1"/>
    <xf numFmtId="0" fontId="0" fillId="5" borderId="0" xfId="0" applyFont="1" applyFill="1"/>
    <xf numFmtId="0" fontId="0" fillId="8" borderId="2" xfId="0" applyFont="1" applyFill="1" applyBorder="1"/>
    <xf numFmtId="0" fontId="0" fillId="2" borderId="28" xfId="0" applyFont="1" applyFill="1" applyBorder="1" applyAlignment="1">
      <alignment horizontal="right" vertical="center"/>
    </xf>
    <xf numFmtId="0" fontId="0" fillId="0" borderId="3" xfId="0" applyFont="1" applyBorder="1"/>
    <xf numFmtId="0" fontId="0" fillId="2" borderId="3" xfId="0" applyFont="1" applyFill="1" applyBorder="1" applyAlignment="1">
      <alignment horizontal="center" vertical="center"/>
    </xf>
    <xf numFmtId="0" fontId="0" fillId="4" borderId="3" xfId="0" applyFont="1" applyFill="1" applyBorder="1"/>
    <xf numFmtId="0" fontId="0" fillId="4" borderId="7" xfId="0" applyFont="1" applyFill="1" applyBorder="1"/>
    <xf numFmtId="0" fontId="0" fillId="6" borderId="22" xfId="0" applyFont="1" applyFill="1" applyBorder="1" applyAlignment="1">
      <alignment horizontal="right" vertical="center"/>
    </xf>
    <xf numFmtId="0" fontId="0" fillId="0" borderId="34" xfId="0" applyFont="1" applyBorder="1"/>
    <xf numFmtId="0" fontId="0" fillId="6" borderId="34" xfId="0" applyFont="1" applyFill="1" applyBorder="1"/>
    <xf numFmtId="0" fontId="0" fillId="0" borderId="44" xfId="0" applyFont="1" applyBorder="1"/>
    <xf numFmtId="0" fontId="0" fillId="0" borderId="0" xfId="0" applyFont="1" applyFill="1" applyBorder="1" applyAlignment="1">
      <alignment horizontal="right" vertical="center"/>
    </xf>
    <xf numFmtId="0" fontId="0" fillId="0" borderId="0" xfId="0" applyFont="1" applyFill="1" applyBorder="1"/>
    <xf numFmtId="0" fontId="2" fillId="11" borderId="19" xfId="0" applyFont="1" applyFill="1" applyBorder="1" applyAlignment="1">
      <alignment horizontal="center" vertical="center"/>
    </xf>
    <xf numFmtId="0" fontId="2" fillId="0" borderId="0" xfId="0" applyFont="1" applyBorder="1" applyAlignment="1">
      <alignment horizontal="center" vertical="center"/>
    </xf>
    <xf numFmtId="0" fontId="2" fillId="0" borderId="11" xfId="0" applyFont="1" applyBorder="1"/>
    <xf numFmtId="0" fontId="0" fillId="0" borderId="14" xfId="0" applyFont="1" applyBorder="1"/>
    <xf numFmtId="165" fontId="0" fillId="9" borderId="15" xfId="1" applyNumberFormat="1" applyFont="1" applyFill="1" applyBorder="1" applyAlignment="1">
      <alignment horizontal="left" vertical="center" wrapText="1"/>
    </xf>
    <xf numFmtId="165" fontId="0" fillId="0" borderId="15" xfId="1" applyNumberFormat="1" applyFont="1" applyFill="1" applyBorder="1" applyAlignment="1">
      <alignment horizontal="left" vertical="center" wrapText="1"/>
    </xf>
    <xf numFmtId="165" fontId="0" fillId="0" borderId="15" xfId="1" applyNumberFormat="1" applyFont="1" applyBorder="1"/>
    <xf numFmtId="165" fontId="0" fillId="0" borderId="30" xfId="1" applyNumberFormat="1" applyFont="1" applyBorder="1"/>
    <xf numFmtId="165" fontId="2" fillId="11" borderId="26" xfId="0" applyNumberFormat="1" applyFont="1" applyFill="1" applyBorder="1"/>
    <xf numFmtId="165" fontId="0" fillId="0" borderId="0" xfId="1" applyNumberFormat="1" applyFont="1" applyBorder="1" applyAlignment="1">
      <alignment horizontal="center" vertical="center"/>
    </xf>
    <xf numFmtId="0" fontId="2" fillId="0" borderId="27" xfId="0" applyFont="1" applyBorder="1"/>
    <xf numFmtId="165" fontId="0" fillId="15" borderId="4" xfId="1" applyNumberFormat="1" applyFont="1" applyFill="1" applyBorder="1"/>
    <xf numFmtId="165" fontId="0" fillId="0" borderId="2" xfId="1" applyNumberFormat="1" applyFont="1" applyBorder="1"/>
    <xf numFmtId="165" fontId="0" fillId="0" borderId="31" xfId="1" applyNumberFormat="1" applyFont="1" applyBorder="1"/>
    <xf numFmtId="165" fontId="2" fillId="11" borderId="37" xfId="0" applyNumberFormat="1" applyFont="1" applyFill="1" applyBorder="1"/>
    <xf numFmtId="0" fontId="2" fillId="0" borderId="42" xfId="0" applyFont="1" applyBorder="1"/>
    <xf numFmtId="0" fontId="0" fillId="0" borderId="0" xfId="0" applyFont="1" applyBorder="1"/>
    <xf numFmtId="165" fontId="0" fillId="0" borderId="29" xfId="1" applyNumberFormat="1" applyFont="1" applyBorder="1"/>
    <xf numFmtId="165" fontId="0" fillId="0" borderId="46" xfId="1" applyNumberFormat="1" applyFont="1" applyBorder="1"/>
    <xf numFmtId="165" fontId="0" fillId="0" borderId="0" xfId="0" applyNumberFormat="1" applyFont="1"/>
    <xf numFmtId="0" fontId="0" fillId="0" borderId="0" xfId="0" applyFont="1" applyBorder="1" applyAlignment="1">
      <alignment horizontal="center" vertical="center"/>
    </xf>
    <xf numFmtId="0" fontId="0" fillId="0" borderId="31" xfId="0" applyFont="1" applyBorder="1" applyAlignment="1">
      <alignment horizontal="left" vertical="center"/>
    </xf>
    <xf numFmtId="17" fontId="0" fillId="0" borderId="43" xfId="0" applyNumberFormat="1" applyFont="1" applyBorder="1"/>
    <xf numFmtId="17" fontId="0" fillId="0" borderId="35" xfId="0" applyNumberFormat="1" applyFont="1" applyBorder="1"/>
    <xf numFmtId="17" fontId="0" fillId="0" borderId="36" xfId="0" applyNumberFormat="1" applyFont="1" applyBorder="1"/>
    <xf numFmtId="17" fontId="0" fillId="0" borderId="16" xfId="0" applyNumberFormat="1" applyFont="1" applyBorder="1"/>
    <xf numFmtId="0" fontId="0" fillId="0" borderId="0" xfId="0" applyFont="1" applyAlignment="1">
      <alignment horizontal="center" vertical="center"/>
    </xf>
    <xf numFmtId="0" fontId="0" fillId="0" borderId="14" xfId="0" applyFont="1" applyFill="1" applyBorder="1"/>
    <xf numFmtId="0" fontId="0" fillId="0" borderId="0" xfId="0" applyFont="1" applyFill="1" applyAlignment="1">
      <alignment horizontal="center" vertical="center"/>
    </xf>
    <xf numFmtId="0" fontId="0" fillId="10" borderId="4" xfId="0" applyFont="1" applyFill="1" applyBorder="1"/>
    <xf numFmtId="0" fontId="0" fillId="0" borderId="4" xfId="0" applyFont="1" applyBorder="1"/>
    <xf numFmtId="0" fontId="0" fillId="10" borderId="6" xfId="0" applyFont="1" applyFill="1" applyBorder="1"/>
    <xf numFmtId="0" fontId="0" fillId="12" borderId="4" xfId="0" applyFont="1" applyFill="1" applyBorder="1"/>
    <xf numFmtId="0" fontId="0" fillId="12" borderId="2" xfId="0" applyFont="1" applyFill="1" applyBorder="1"/>
    <xf numFmtId="0" fontId="0" fillId="2" borderId="18" xfId="0" applyFont="1" applyFill="1" applyBorder="1" applyAlignment="1">
      <alignment horizontal="right" vertical="center"/>
    </xf>
    <xf numFmtId="0" fontId="0" fillId="0" borderId="41" xfId="0" applyFont="1" applyBorder="1"/>
    <xf numFmtId="0" fontId="0" fillId="0" borderId="8" xfId="0" applyFont="1" applyBorder="1"/>
    <xf numFmtId="0" fontId="0" fillId="0" borderId="32" xfId="0" applyFont="1" applyBorder="1"/>
    <xf numFmtId="0" fontId="0" fillId="0" borderId="8" xfId="0" applyFont="1" applyFill="1" applyBorder="1"/>
    <xf numFmtId="0" fontId="0" fillId="2" borderId="8" xfId="0" applyFont="1" applyFill="1" applyBorder="1"/>
    <xf numFmtId="0" fontId="0" fillId="2" borderId="32" xfId="0" applyFont="1" applyFill="1" applyBorder="1"/>
    <xf numFmtId="0" fontId="0" fillId="2" borderId="41" xfId="0" applyFont="1" applyFill="1" applyBorder="1"/>
    <xf numFmtId="0" fontId="0" fillId="8" borderId="6" xfId="0" applyFont="1" applyFill="1" applyBorder="1"/>
    <xf numFmtId="0" fontId="0" fillId="8" borderId="4" xfId="0" applyFont="1" applyFill="1" applyBorder="1"/>
    <xf numFmtId="0" fontId="0" fillId="0" borderId="5" xfId="0" applyFont="1" applyBorder="1"/>
    <xf numFmtId="0" fontId="0" fillId="0" borderId="7" xfId="0" applyFont="1" applyBorder="1"/>
    <xf numFmtId="0" fontId="0" fillId="0" borderId="3" xfId="0" applyFont="1" applyFill="1" applyBorder="1"/>
    <xf numFmtId="0" fontId="0" fillId="2" borderId="3" xfId="0" applyFont="1" applyFill="1" applyBorder="1"/>
    <xf numFmtId="0" fontId="0" fillId="2" borderId="7" xfId="0" applyFont="1" applyFill="1" applyBorder="1"/>
    <xf numFmtId="0" fontId="0" fillId="2" borderId="5" xfId="0" applyFont="1" applyFill="1" applyBorder="1"/>
    <xf numFmtId="0" fontId="0" fillId="9" borderId="3" xfId="0" applyFont="1" applyFill="1" applyBorder="1"/>
    <xf numFmtId="0" fontId="0" fillId="9" borderId="7" xfId="0" applyFont="1" applyFill="1" applyBorder="1"/>
    <xf numFmtId="0" fontId="0" fillId="9" borderId="5" xfId="0" applyFont="1" applyFill="1" applyBorder="1"/>
    <xf numFmtId="0" fontId="0" fillId="0" borderId="28" xfId="0" applyFont="1" applyBorder="1" applyAlignment="1">
      <alignment horizontal="right" vertical="center"/>
    </xf>
    <xf numFmtId="0" fontId="0" fillId="8" borderId="8" xfId="0" applyFont="1" applyFill="1" applyBorder="1"/>
    <xf numFmtId="0" fontId="0" fillId="6" borderId="47" xfId="0" applyFont="1" applyFill="1" applyBorder="1" applyAlignment="1">
      <alignment horizontal="right" vertical="center"/>
    </xf>
    <xf numFmtId="0" fontId="0" fillId="0" borderId="33" xfId="0" applyFont="1" applyBorder="1"/>
    <xf numFmtId="0" fontId="0" fillId="6" borderId="33" xfId="0" applyFont="1" applyFill="1" applyBorder="1"/>
    <xf numFmtId="0" fontId="0" fillId="6" borderId="44" xfId="0" applyFont="1" applyFill="1" applyBorder="1"/>
    <xf numFmtId="17" fontId="0" fillId="0" borderId="14" xfId="0" applyNumberFormat="1" applyFont="1" applyBorder="1"/>
    <xf numFmtId="17" fontId="0" fillId="0" borderId="15" xfId="0" applyNumberFormat="1" applyFont="1" applyBorder="1"/>
    <xf numFmtId="17" fontId="0" fillId="0" borderId="30" xfId="0" applyNumberFormat="1" applyFont="1" applyBorder="1"/>
    <xf numFmtId="0" fontId="0" fillId="0" borderId="2" xfId="0" applyFont="1" applyBorder="1" applyAlignment="1">
      <alignment horizontal="left" vertical="center"/>
    </xf>
    <xf numFmtId="0" fontId="0" fillId="0" borderId="2" xfId="0" applyFont="1" applyFill="1" applyBorder="1"/>
    <xf numFmtId="0" fontId="0" fillId="4" borderId="8" xfId="0" applyFont="1" applyFill="1" applyBorder="1" applyAlignment="1">
      <alignment horizontal="right" vertical="center"/>
    </xf>
    <xf numFmtId="165" fontId="0" fillId="0" borderId="8" xfId="0" applyNumberFormat="1" applyFont="1" applyFill="1" applyBorder="1"/>
    <xf numFmtId="0" fontId="0" fillId="0" borderId="18" xfId="0" applyFont="1" applyFill="1" applyBorder="1"/>
    <xf numFmtId="0" fontId="0" fillId="0" borderId="24" xfId="0" applyFont="1" applyBorder="1" applyAlignment="1">
      <alignment horizontal="left" vertical="center"/>
    </xf>
    <xf numFmtId="165" fontId="0" fillId="0" borderId="29" xfId="0" applyNumberFormat="1" applyFont="1" applyBorder="1"/>
    <xf numFmtId="0" fontId="0" fillId="0" borderId="9" xfId="0" applyFont="1" applyBorder="1" applyAlignment="1">
      <alignment horizontal="left" vertical="center"/>
    </xf>
    <xf numFmtId="0" fontId="0" fillId="0" borderId="10" xfId="0" applyFont="1" applyBorder="1"/>
    <xf numFmtId="165" fontId="0" fillId="0" borderId="1" xfId="0" applyNumberFormat="1" applyFont="1" applyBorder="1"/>
    <xf numFmtId="0" fontId="0" fillId="3" borderId="14" xfId="0" applyFont="1" applyFill="1" applyBorder="1"/>
    <xf numFmtId="0" fontId="0" fillId="3" borderId="16" xfId="0" applyFont="1" applyFill="1" applyBorder="1"/>
    <xf numFmtId="0" fontId="0" fillId="3" borderId="4" xfId="0" applyFont="1" applyFill="1" applyBorder="1"/>
    <xf numFmtId="0" fontId="0" fillId="3" borderId="2" xfId="0" applyFont="1" applyFill="1" applyBorder="1"/>
    <xf numFmtId="0" fontId="0" fillId="3" borderId="6" xfId="0" applyFont="1" applyFill="1" applyBorder="1"/>
    <xf numFmtId="0" fontId="0" fillId="3" borderId="2" xfId="0" applyFont="1" applyFill="1" applyBorder="1" applyAlignment="1">
      <alignment wrapText="1"/>
    </xf>
    <xf numFmtId="44" fontId="0" fillId="0" borderId="0" xfId="1" applyFont="1" applyFill="1" applyBorder="1"/>
    <xf numFmtId="0" fontId="0" fillId="0" borderId="0" xfId="0" applyFont="1" applyFill="1" applyBorder="1" applyAlignment="1">
      <alignment wrapText="1"/>
    </xf>
    <xf numFmtId="0" fontId="0" fillId="3" borderId="10" xfId="0" applyFont="1" applyFill="1" applyBorder="1"/>
    <xf numFmtId="44" fontId="0" fillId="3" borderId="10" xfId="1" applyFont="1" applyFill="1" applyBorder="1"/>
    <xf numFmtId="0" fontId="0" fillId="3" borderId="10" xfId="0" applyFont="1" applyFill="1" applyBorder="1" applyAlignment="1">
      <alignment wrapText="1"/>
    </xf>
    <xf numFmtId="0" fontId="0" fillId="3" borderId="17" xfId="0" applyFont="1" applyFill="1" applyBorder="1"/>
    <xf numFmtId="0" fontId="0" fillId="0" borderId="2" xfId="0" applyFont="1" applyBorder="1" applyAlignment="1">
      <alignment horizontal="left" vertical="top" wrapText="1"/>
    </xf>
    <xf numFmtId="0" fontId="0" fillId="0" borderId="0" xfId="0" applyFont="1" applyAlignment="1">
      <alignment horizontal="left" vertical="top"/>
    </xf>
    <xf numFmtId="0" fontId="0" fillId="2" borderId="2" xfId="0" applyFont="1" applyFill="1" applyBorder="1" applyAlignment="1">
      <alignment horizontal="left" vertical="top" wrapText="1"/>
    </xf>
    <xf numFmtId="0" fontId="0" fillId="2" borderId="2"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Alignment="1">
      <alignment horizontal="left" vertical="top"/>
    </xf>
    <xf numFmtId="0" fontId="0" fillId="2" borderId="0" xfId="0" applyFont="1" applyFill="1" applyAlignment="1">
      <alignment horizontal="left" vertical="top"/>
    </xf>
    <xf numFmtId="0" fontId="0" fillId="4" borderId="2" xfId="0" applyFont="1" applyFill="1" applyBorder="1" applyAlignment="1">
      <alignment horizontal="right" vertical="top" wrapText="1"/>
    </xf>
    <xf numFmtId="0" fontId="0" fillId="4" borderId="2" xfId="0" applyFont="1" applyFill="1" applyBorder="1" applyAlignment="1">
      <alignment horizontal="left" vertical="top" wrapText="1"/>
    </xf>
    <xf numFmtId="0" fontId="0" fillId="4" borderId="2"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0" xfId="0" applyFont="1" applyFill="1" applyBorder="1" applyAlignment="1">
      <alignment horizontal="left" vertical="top"/>
    </xf>
    <xf numFmtId="0" fontId="0" fillId="4" borderId="8" xfId="0" applyFont="1" applyFill="1" applyBorder="1" applyAlignment="1">
      <alignment horizontal="right" vertical="top" wrapText="1"/>
    </xf>
    <xf numFmtId="0" fontId="0" fillId="4" borderId="8" xfId="0" applyFont="1" applyFill="1" applyBorder="1" applyAlignment="1">
      <alignment horizontal="left" vertical="top" wrapText="1"/>
    </xf>
    <xf numFmtId="0" fontId="0" fillId="4" borderId="2" xfId="0" applyFont="1" applyFill="1" applyBorder="1" applyAlignment="1">
      <alignment horizontal="left" vertical="top"/>
    </xf>
    <xf numFmtId="0" fontId="0" fillId="6" borderId="10" xfId="0" applyFont="1" applyFill="1" applyBorder="1" applyAlignment="1">
      <alignment horizontal="left" vertical="top" wrapText="1"/>
    </xf>
    <xf numFmtId="0" fontId="0" fillId="0" borderId="0" xfId="0" applyFont="1" applyAlignment="1">
      <alignment horizontal="left" vertical="top" wrapText="1"/>
    </xf>
    <xf numFmtId="0" fontId="0" fillId="3" borderId="4" xfId="0" applyFont="1" applyFill="1" applyBorder="1" applyAlignment="1">
      <alignment horizontal="left" vertical="top" wrapText="1"/>
    </xf>
    <xf numFmtId="0" fontId="0" fillId="3" borderId="2" xfId="0" applyFont="1" applyFill="1" applyBorder="1" applyAlignment="1">
      <alignment horizontal="left" vertical="top" wrapText="1"/>
    </xf>
    <xf numFmtId="0" fontId="0" fillId="3" borderId="6" xfId="0" applyFont="1" applyFill="1" applyBorder="1" applyAlignment="1">
      <alignment horizontal="center" vertical="top"/>
    </xf>
    <xf numFmtId="0" fontId="0" fillId="3" borderId="2" xfId="0" applyFont="1" applyFill="1" applyBorder="1" applyAlignment="1">
      <alignment horizontal="left" vertical="top"/>
    </xf>
    <xf numFmtId="0" fontId="0" fillId="3" borderId="5" xfId="0" applyFont="1" applyFill="1" applyBorder="1" applyAlignment="1">
      <alignment horizontal="left" vertical="top"/>
    </xf>
    <xf numFmtId="0" fontId="0" fillId="0" borderId="2" xfId="0" applyFont="1" applyFill="1" applyBorder="1" applyAlignment="1">
      <alignment horizontal="left" vertical="top" wrapText="1"/>
    </xf>
    <xf numFmtId="0" fontId="0" fillId="2" borderId="2" xfId="0" applyFont="1" applyFill="1" applyBorder="1" applyAlignment="1">
      <alignment horizontal="left" vertical="top"/>
    </xf>
    <xf numFmtId="0" fontId="0" fillId="5" borderId="2" xfId="0" applyFont="1" applyFill="1" applyBorder="1" applyAlignment="1">
      <alignment horizontal="left" vertical="top" wrapText="1"/>
    </xf>
    <xf numFmtId="0" fontId="0" fillId="5" borderId="2" xfId="0" applyFont="1" applyFill="1" applyBorder="1" applyAlignment="1">
      <alignment horizontal="left" vertical="top"/>
    </xf>
    <xf numFmtId="0" fontId="0" fillId="0" borderId="2" xfId="0" applyFont="1" applyFill="1" applyBorder="1" applyAlignment="1">
      <alignment horizontal="left" vertical="top"/>
    </xf>
    <xf numFmtId="0" fontId="0" fillId="0" borderId="0" xfId="0" applyFont="1" applyFill="1" applyAlignment="1">
      <alignment horizontal="left" vertical="top" wrapText="1"/>
    </xf>
    <xf numFmtId="0" fontId="0" fillId="5" borderId="0" xfId="0" applyFont="1" applyFill="1" applyAlignment="1">
      <alignment horizontal="left" vertical="top"/>
    </xf>
    <xf numFmtId="0" fontId="0" fillId="0" borderId="2" xfId="0" applyFont="1" applyBorder="1" applyAlignment="1">
      <alignment horizontal="left" vertical="top"/>
    </xf>
    <xf numFmtId="165" fontId="2" fillId="0" borderId="20" xfId="0" applyNumberFormat="1" applyFont="1" applyBorder="1" applyAlignment="1">
      <alignment horizontal="center" vertical="center"/>
    </xf>
    <xf numFmtId="165" fontId="0" fillId="0" borderId="46" xfId="0" applyNumberFormat="1" applyFont="1" applyBorder="1"/>
    <xf numFmtId="165" fontId="2" fillId="0" borderId="1" xfId="0" applyNumberFormat="1" applyFont="1" applyBorder="1" applyAlignment="1">
      <alignment horizontal="center" vertical="center"/>
    </xf>
    <xf numFmtId="44" fontId="0" fillId="0" borderId="0" xfId="0" applyNumberFormat="1" applyFont="1"/>
    <xf numFmtId="44" fontId="0" fillId="3" borderId="6" xfId="0" applyNumberFormat="1" applyFont="1" applyFill="1" applyBorder="1"/>
    <xf numFmtId="0" fontId="0" fillId="0" borderId="0" xfId="0" applyFont="1" applyAlignment="1">
      <alignment horizontal="center" vertical="top" wrapText="1"/>
    </xf>
    <xf numFmtId="0" fontId="0" fillId="3" borderId="4" xfId="0" applyFont="1" applyFill="1" applyBorder="1" applyAlignment="1">
      <alignment horizontal="center" vertical="top" wrapText="1"/>
    </xf>
    <xf numFmtId="0" fontId="0" fillId="3" borderId="2" xfId="0" applyFont="1" applyFill="1" applyBorder="1" applyAlignment="1">
      <alignment horizontal="center" vertical="top" wrapText="1"/>
    </xf>
    <xf numFmtId="0" fontId="0" fillId="3" borderId="6" xfId="0" applyFont="1" applyFill="1" applyBorder="1" applyAlignment="1">
      <alignment horizontal="center" vertical="top" wrapText="1"/>
    </xf>
    <xf numFmtId="0" fontId="0" fillId="0" borderId="0" xfId="0" applyFont="1" applyFill="1" applyAlignment="1">
      <alignment horizontal="center" vertical="top" wrapText="1"/>
    </xf>
    <xf numFmtId="9" fontId="0" fillId="0" borderId="0" xfId="2" applyFont="1" applyFill="1" applyAlignment="1">
      <alignment horizontal="left" vertical="center"/>
    </xf>
    <xf numFmtId="165" fontId="0" fillId="14" borderId="8" xfId="0" applyNumberFormat="1" applyFont="1" applyFill="1" applyBorder="1"/>
    <xf numFmtId="49" fontId="2" fillId="0" borderId="29" xfId="0" applyNumberFormat="1" applyFont="1" applyBorder="1" applyAlignment="1">
      <alignment horizontal="center" vertical="center"/>
    </xf>
    <xf numFmtId="49" fontId="2" fillId="0" borderId="25" xfId="0" applyNumberFormat="1" applyFont="1" applyBorder="1" applyAlignment="1">
      <alignment horizontal="center" vertical="center"/>
    </xf>
    <xf numFmtId="49" fontId="2" fillId="0" borderId="50" xfId="0" applyNumberFormat="1" applyFont="1" applyBorder="1" applyAlignment="1">
      <alignment horizontal="center" vertical="center"/>
    </xf>
    <xf numFmtId="0" fontId="2" fillId="0" borderId="1" xfId="0" applyFont="1" applyBorder="1" applyAlignment="1">
      <alignment horizontal="center" vertical="center"/>
    </xf>
    <xf numFmtId="164" fontId="0" fillId="0" borderId="0" xfId="3" applyNumberFormat="1" applyFont="1" applyFill="1" applyBorder="1" applyAlignment="1">
      <alignment horizontal="left" vertical="top"/>
    </xf>
    <xf numFmtId="164" fontId="0" fillId="0" borderId="0" xfId="0" applyNumberFormat="1" applyFont="1" applyAlignment="1">
      <alignment horizontal="left" vertical="top"/>
    </xf>
    <xf numFmtId="0" fontId="2" fillId="0" borderId="14" xfId="0" applyFont="1" applyFill="1" applyBorder="1" applyAlignment="1">
      <alignment horizontal="center" vertical="center"/>
    </xf>
    <xf numFmtId="0" fontId="0" fillId="0" borderId="0" xfId="0" applyFont="1" applyFill="1" applyAlignment="1">
      <alignment horizontal="left" vertical="center"/>
    </xf>
    <xf numFmtId="0" fontId="2" fillId="2" borderId="4" xfId="0" applyFont="1" applyFill="1" applyBorder="1" applyAlignment="1">
      <alignment horizontal="left" vertical="center"/>
    </xf>
    <xf numFmtId="0" fontId="2" fillId="5" borderId="4" xfId="0" applyFont="1" applyFill="1" applyBorder="1" applyAlignment="1">
      <alignment horizontal="left" vertical="center"/>
    </xf>
    <xf numFmtId="0" fontId="2" fillId="3" borderId="4" xfId="0" applyFont="1" applyFill="1" applyBorder="1" applyAlignment="1">
      <alignment horizontal="left" vertical="center"/>
    </xf>
    <xf numFmtId="0" fontId="2" fillId="0" borderId="5" xfId="0" applyFont="1" applyFill="1" applyBorder="1" applyAlignment="1">
      <alignment horizontal="left" vertical="center"/>
    </xf>
    <xf numFmtId="0" fontId="0" fillId="0" borderId="3" xfId="0" applyFont="1" applyFill="1" applyBorder="1" applyAlignment="1">
      <alignment horizontal="center" vertical="center"/>
    </xf>
    <xf numFmtId="0" fontId="0" fillId="5" borderId="16" xfId="0" applyFont="1" applyFill="1" applyBorder="1"/>
    <xf numFmtId="0" fontId="0" fillId="5" borderId="11" xfId="0" applyFont="1" applyFill="1" applyBorder="1"/>
    <xf numFmtId="0" fontId="0" fillId="5" borderId="15" xfId="0" applyFont="1" applyFill="1" applyBorder="1"/>
    <xf numFmtId="9" fontId="0" fillId="16" borderId="5" xfId="2" applyFont="1" applyFill="1" applyBorder="1" applyAlignment="1">
      <alignment horizontal="center"/>
    </xf>
    <xf numFmtId="0" fontId="0" fillId="16" borderId="7" xfId="0" applyFont="1" applyFill="1" applyBorder="1"/>
    <xf numFmtId="0" fontId="0" fillId="2" borderId="4" xfId="0" applyFont="1" applyFill="1" applyBorder="1" applyAlignment="1">
      <alignment horizontal="left" vertical="center"/>
    </xf>
    <xf numFmtId="44" fontId="0" fillId="0" borderId="6" xfId="1" applyNumberFormat="1" applyFont="1" applyFill="1" applyBorder="1" applyAlignment="1">
      <alignment horizontal="left" vertical="center"/>
    </xf>
    <xf numFmtId="0" fontId="0" fillId="5" borderId="4" xfId="0" applyFont="1" applyFill="1" applyBorder="1" applyAlignment="1">
      <alignment horizontal="left" vertical="center"/>
    </xf>
    <xf numFmtId="0" fontId="0" fillId="3" borderId="4" xfId="0" applyFont="1" applyFill="1" applyBorder="1" applyAlignment="1">
      <alignment horizontal="left" vertical="center"/>
    </xf>
    <xf numFmtId="44" fontId="0" fillId="0" borderId="7" xfId="1" applyNumberFormat="1" applyFont="1" applyFill="1" applyBorder="1" applyAlignment="1">
      <alignment horizontal="left" vertical="center"/>
    </xf>
    <xf numFmtId="0" fontId="0" fillId="0" borderId="5" xfId="0" applyFont="1" applyFill="1" applyBorder="1" applyAlignment="1">
      <alignment horizontal="right" vertical="center"/>
    </xf>
    <xf numFmtId="44" fontId="0" fillId="0" borderId="44" xfId="0" applyNumberFormat="1" applyFont="1" applyFill="1" applyBorder="1" applyAlignment="1">
      <alignment horizontal="left" vertical="center"/>
    </xf>
    <xf numFmtId="15" fontId="2" fillId="0" borderId="14" xfId="0" applyNumberFormat="1" applyFont="1" applyFill="1" applyBorder="1" applyAlignment="1">
      <alignment horizontal="center" vertical="center"/>
    </xf>
    <xf numFmtId="0" fontId="2" fillId="0" borderId="16" xfId="0" applyFont="1" applyFill="1" applyBorder="1" applyAlignment="1">
      <alignment horizontal="left" vertical="center"/>
    </xf>
    <xf numFmtId="44" fontId="0" fillId="2" borderId="6" xfId="1" applyFont="1" applyFill="1" applyBorder="1" applyAlignment="1">
      <alignment horizontal="left" vertical="center"/>
    </xf>
    <xf numFmtId="44" fontId="0" fillId="5" borderId="6" xfId="1" applyFont="1" applyFill="1" applyBorder="1" applyAlignment="1">
      <alignment horizontal="left" vertical="center"/>
    </xf>
    <xf numFmtId="44" fontId="0" fillId="3" borderId="7" xfId="1" applyFont="1" applyFill="1" applyBorder="1" applyAlignment="1">
      <alignment horizontal="left" vertical="center"/>
    </xf>
    <xf numFmtId="44" fontId="0" fillId="16" borderId="48" xfId="0" applyNumberFormat="1" applyFont="1" applyFill="1" applyBorder="1" applyAlignment="1">
      <alignment horizontal="left" vertical="center"/>
    </xf>
    <xf numFmtId="0" fontId="0" fillId="2" borderId="0" xfId="0" applyFill="1" applyAlignment="1">
      <alignment wrapText="1"/>
    </xf>
    <xf numFmtId="0" fontId="0" fillId="0" borderId="0" xfId="0" applyAlignment="1">
      <alignment wrapText="1"/>
    </xf>
    <xf numFmtId="165" fontId="2" fillId="0" borderId="49" xfId="1" applyNumberFormat="1" applyFont="1" applyFill="1" applyBorder="1"/>
    <xf numFmtId="0" fontId="2" fillId="0" borderId="19" xfId="0" applyFont="1" applyBorder="1" applyAlignment="1">
      <alignment horizontal="left" vertical="center" wrapText="1"/>
    </xf>
    <xf numFmtId="165" fontId="2" fillId="0" borderId="1" xfId="1" applyNumberFormat="1" applyFont="1" applyBorder="1" applyAlignment="1">
      <alignment horizontal="left" vertical="center" wrapText="1"/>
    </xf>
    <xf numFmtId="2" fontId="2" fillId="0" borderId="17" xfId="0" applyNumberFormat="1" applyFont="1" applyBorder="1" applyAlignment="1">
      <alignment horizontal="center" vertical="center"/>
    </xf>
    <xf numFmtId="165" fontId="2" fillId="9" borderId="1" xfId="1" applyNumberFormat="1" applyFont="1" applyFill="1" applyBorder="1" applyAlignment="1">
      <alignment horizontal="left" vertical="center" wrapText="1"/>
    </xf>
    <xf numFmtId="0" fontId="2" fillId="5" borderId="4" xfId="0" applyFont="1" applyFill="1" applyBorder="1"/>
    <xf numFmtId="44" fontId="0" fillId="5" borderId="2" xfId="1" applyFont="1" applyFill="1" applyBorder="1"/>
    <xf numFmtId="9" fontId="0" fillId="5" borderId="2" xfId="2" applyFont="1" applyFill="1" applyBorder="1"/>
    <xf numFmtId="44" fontId="0" fillId="5" borderId="6" xfId="0" applyNumberFormat="1" applyFont="1" applyFill="1" applyBorder="1"/>
    <xf numFmtId="43" fontId="0" fillId="0" borderId="51" xfId="0" applyNumberFormat="1" applyFont="1" applyBorder="1"/>
    <xf numFmtId="0" fontId="0" fillId="0" borderId="51" xfId="0" applyFont="1" applyBorder="1"/>
    <xf numFmtId="43" fontId="0" fillId="0" borderId="37" xfId="3" applyFont="1" applyBorder="1"/>
    <xf numFmtId="43" fontId="0" fillId="0" borderId="39" xfId="0" applyNumberFormat="1" applyFont="1" applyBorder="1"/>
    <xf numFmtId="16" fontId="0" fillId="0" borderId="19" xfId="0" applyNumberFormat="1" applyFont="1" applyBorder="1"/>
    <xf numFmtId="0" fontId="0" fillId="0" borderId="20" xfId="0" applyFont="1" applyBorder="1" applyAlignment="1">
      <alignment horizontal="center" vertical="top" wrapText="1"/>
    </xf>
    <xf numFmtId="44" fontId="0" fillId="0" borderId="20" xfId="0" applyNumberFormat="1" applyFont="1" applyBorder="1"/>
    <xf numFmtId="0" fontId="0" fillId="0" borderId="21" xfId="0" applyFont="1" applyBorder="1"/>
    <xf numFmtId="0" fontId="0" fillId="0" borderId="51" xfId="0" applyFont="1" applyFill="1" applyBorder="1" applyAlignment="1">
      <alignment horizontal="center" vertical="center" wrapText="1"/>
    </xf>
    <xf numFmtId="0" fontId="0" fillId="0" borderId="19" xfId="0" applyFont="1" applyBorder="1" applyAlignment="1">
      <alignment horizontal="center" vertical="center"/>
    </xf>
    <xf numFmtId="164" fontId="0" fillId="0" borderId="0" xfId="0" applyNumberFormat="1" applyFont="1"/>
    <xf numFmtId="43" fontId="0" fillId="0" borderId="0" xfId="3" applyFont="1" applyFill="1" applyAlignment="1">
      <alignment horizontal="left" vertical="center"/>
    </xf>
    <xf numFmtId="44" fontId="0" fillId="0" borderId="0" xfId="0" applyNumberFormat="1" applyFill="1" applyAlignment="1">
      <alignment horizontal="left" vertical="center"/>
    </xf>
    <xf numFmtId="44" fontId="0" fillId="0" borderId="0" xfId="1" applyFont="1" applyFill="1" applyAlignment="1">
      <alignment horizontal="left" vertical="center"/>
    </xf>
    <xf numFmtId="0" fontId="0" fillId="0" borderId="0" xfId="0" applyFont="1" applyAlignment="1">
      <alignment horizontal="center" vertical="center"/>
    </xf>
    <xf numFmtId="0" fontId="0" fillId="0" borderId="2" xfId="0" applyFont="1" applyFill="1" applyBorder="1" applyAlignment="1">
      <alignment horizontal="center" vertical="center"/>
    </xf>
    <xf numFmtId="44" fontId="0" fillId="0" borderId="2" xfId="1" applyFont="1" applyFill="1" applyBorder="1" applyAlignment="1">
      <alignment horizontal="center" vertical="center"/>
    </xf>
    <xf numFmtId="0" fontId="0" fillId="0" borderId="0" xfId="0" applyFont="1" applyFill="1" applyBorder="1" applyAlignment="1">
      <alignment horizontal="right" vertical="top" wrapText="1"/>
    </xf>
    <xf numFmtId="44" fontId="0" fillId="0" borderId="2" xfId="1" applyNumberFormat="1" applyFont="1" applyFill="1" applyBorder="1" applyAlignment="1">
      <alignment horizontal="center" vertical="center"/>
    </xf>
    <xf numFmtId="0" fontId="2" fillId="11" borderId="2" xfId="0" applyFont="1" applyFill="1" applyBorder="1" applyAlignment="1">
      <alignment horizontal="center" vertical="center" wrapText="1"/>
    </xf>
    <xf numFmtId="0" fontId="2" fillId="14" borderId="2" xfId="0" applyFont="1" applyFill="1" applyBorder="1" applyAlignment="1">
      <alignment horizontal="center" vertical="center" wrapText="1"/>
    </xf>
    <xf numFmtId="0" fontId="2" fillId="0" borderId="27" xfId="0" applyFont="1" applyFill="1" applyBorder="1"/>
    <xf numFmtId="165" fontId="0" fillId="0" borderId="4" xfId="1" applyNumberFormat="1" applyFont="1" applyFill="1" applyBorder="1"/>
    <xf numFmtId="165" fontId="0" fillId="0" borderId="2" xfId="1" applyNumberFormat="1" applyFont="1" applyFill="1" applyBorder="1"/>
    <xf numFmtId="165" fontId="0" fillId="0" borderId="31" xfId="1" applyNumberFormat="1" applyFont="1" applyFill="1" applyBorder="1"/>
    <xf numFmtId="165" fontId="2" fillId="0" borderId="37" xfId="0" applyNumberFormat="1" applyFont="1" applyFill="1" applyBorder="1"/>
    <xf numFmtId="165" fontId="0" fillId="0" borderId="0" xfId="1" applyNumberFormat="1" applyFont="1" applyFill="1" applyBorder="1" applyAlignment="1">
      <alignment horizontal="center" vertical="center"/>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14" xfId="0" applyFont="1" applyFill="1" applyBorder="1"/>
    <xf numFmtId="164" fontId="0" fillId="0" borderId="30" xfId="3" applyNumberFormat="1" applyFont="1" applyFill="1" applyBorder="1" applyAlignment="1">
      <alignment horizontal="center"/>
    </xf>
    <xf numFmtId="0" fontId="2" fillId="0" borderId="4" xfId="0" applyFont="1" applyFill="1" applyBorder="1"/>
    <xf numFmtId="164" fontId="0" fillId="0" borderId="31" xfId="3" applyNumberFormat="1" applyFont="1" applyFill="1" applyBorder="1" applyAlignment="1">
      <alignment horizontal="center" vertical="center"/>
    </xf>
    <xf numFmtId="0" fontId="2" fillId="0" borderId="2" xfId="0" applyFont="1" applyFill="1" applyBorder="1"/>
    <xf numFmtId="164" fontId="0" fillId="0" borderId="18" xfId="3" applyNumberFormat="1" applyFont="1" applyFill="1" applyBorder="1" applyAlignment="1">
      <alignment horizontal="center"/>
    </xf>
    <xf numFmtId="0" fontId="2" fillId="0" borderId="23" xfId="0" applyFont="1" applyFill="1" applyBorder="1" applyAlignment="1">
      <alignment horizontal="right" vertical="center"/>
    </xf>
    <xf numFmtId="164" fontId="2" fillId="0" borderId="16" xfId="3" applyNumberFormat="1" applyFont="1" applyFill="1" applyBorder="1" applyAlignment="1">
      <alignment horizontal="center"/>
    </xf>
    <xf numFmtId="0" fontId="0" fillId="0" borderId="4" xfId="0" applyFont="1" applyFill="1" applyBorder="1" applyAlignment="1">
      <alignment horizontal="right" vertical="center"/>
    </xf>
    <xf numFmtId="164" fontId="0" fillId="0" borderId="6" xfId="3" applyNumberFormat="1" applyFont="1" applyFill="1" applyBorder="1" applyAlignment="1">
      <alignment horizontal="center" vertical="center"/>
    </xf>
    <xf numFmtId="0" fontId="2" fillId="0" borderId="2" xfId="3" applyNumberFormat="1" applyFont="1" applyFill="1" applyBorder="1" applyAlignment="1">
      <alignment horizontal="center" vertical="center" wrapText="1"/>
    </xf>
    <xf numFmtId="0" fontId="0" fillId="14" borderId="2" xfId="3" applyNumberFormat="1" applyFont="1" applyFill="1" applyBorder="1" applyAlignment="1">
      <alignment horizontal="center" vertical="center" wrapText="1"/>
    </xf>
    <xf numFmtId="0" fontId="0" fillId="0" borderId="0" xfId="0" applyFont="1" applyFill="1" applyAlignment="1">
      <alignment horizontal="center" vertical="top"/>
    </xf>
    <xf numFmtId="0" fontId="0" fillId="2" borderId="2" xfId="0" applyFont="1" applyFill="1" applyBorder="1" applyAlignment="1">
      <alignment horizontal="center" vertical="top"/>
    </xf>
    <xf numFmtId="0" fontId="0" fillId="5" borderId="2" xfId="0" applyFont="1" applyFill="1" applyBorder="1" applyAlignment="1">
      <alignment horizontal="center" vertical="top"/>
    </xf>
    <xf numFmtId="0" fontId="0" fillId="0" borderId="2" xfId="0" applyFont="1" applyFill="1" applyBorder="1" applyAlignment="1">
      <alignment horizontal="center" vertical="top"/>
    </xf>
    <xf numFmtId="0" fontId="0" fillId="4" borderId="2" xfId="0" applyFont="1" applyFill="1" applyBorder="1" applyAlignment="1">
      <alignment horizontal="center" vertical="top"/>
    </xf>
    <xf numFmtId="0" fontId="2" fillId="11" borderId="2" xfId="3" applyNumberFormat="1" applyFont="1" applyFill="1" applyBorder="1" applyAlignment="1">
      <alignment horizontal="center" vertical="center" wrapText="1"/>
    </xf>
    <xf numFmtId="0" fontId="0" fillId="2" borderId="2" xfId="3" applyNumberFormat="1" applyFont="1" applyFill="1" applyBorder="1" applyAlignment="1">
      <alignment horizontal="center" vertical="top"/>
    </xf>
    <xf numFmtId="0" fontId="0" fillId="5" borderId="2" xfId="3" applyNumberFormat="1" applyFont="1" applyFill="1" applyBorder="1" applyAlignment="1">
      <alignment horizontal="center" vertical="top"/>
    </xf>
    <xf numFmtId="0" fontId="0" fillId="0" borderId="2" xfId="3" applyNumberFormat="1" applyFont="1" applyFill="1" applyBorder="1" applyAlignment="1">
      <alignment horizontal="center" vertical="top"/>
    </xf>
    <xf numFmtId="0" fontId="0" fillId="4" borderId="2" xfId="3" applyNumberFormat="1" applyFont="1" applyFill="1" applyBorder="1" applyAlignment="1">
      <alignment horizontal="center" vertical="top"/>
    </xf>
    <xf numFmtId="0" fontId="0" fillId="0" borderId="0" xfId="3" applyNumberFormat="1" applyFont="1" applyFill="1" applyAlignment="1">
      <alignment horizontal="center" vertical="top"/>
    </xf>
    <xf numFmtId="0" fontId="2" fillId="14" borderId="2" xfId="0" applyNumberFormat="1" applyFont="1" applyFill="1" applyBorder="1" applyAlignment="1">
      <alignment horizontal="center" vertical="center" wrapText="1"/>
    </xf>
    <xf numFmtId="0" fontId="0" fillId="2" borderId="2" xfId="0" applyNumberFormat="1" applyFont="1" applyFill="1" applyBorder="1" applyAlignment="1">
      <alignment horizontal="left" vertical="top"/>
    </xf>
    <xf numFmtId="0" fontId="0" fillId="5" borderId="2" xfId="0" applyNumberFormat="1" applyFont="1" applyFill="1" applyBorder="1" applyAlignment="1">
      <alignment horizontal="left" vertical="top"/>
    </xf>
    <xf numFmtId="0" fontId="0" fillId="0" borderId="2" xfId="1" applyNumberFormat="1" applyFont="1" applyFill="1" applyBorder="1" applyAlignment="1">
      <alignment horizontal="left" vertical="top"/>
    </xf>
    <xf numFmtId="0" fontId="0" fillId="4"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0" fontId="0" fillId="0" borderId="0" xfId="0" applyNumberFormat="1" applyFont="1" applyFill="1" applyAlignment="1">
      <alignment horizontal="left" vertical="top"/>
    </xf>
    <xf numFmtId="0" fontId="0" fillId="0" borderId="2" xfId="0" applyFont="1" applyFill="1" applyBorder="1" applyAlignment="1">
      <alignment horizontal="left" vertical="top" wrapText="1" indent="3"/>
    </xf>
    <xf numFmtId="0" fontId="5" fillId="17" borderId="27" xfId="0" applyFont="1" applyFill="1" applyBorder="1"/>
    <xf numFmtId="165" fontId="0" fillId="17" borderId="4" xfId="1" applyNumberFormat="1" applyFont="1" applyFill="1" applyBorder="1"/>
    <xf numFmtId="165" fontId="0" fillId="17" borderId="2" xfId="1" applyNumberFormat="1" applyFont="1" applyFill="1" applyBorder="1"/>
    <xf numFmtId="0" fontId="5" fillId="14" borderId="42" xfId="0" applyFont="1" applyFill="1" applyBorder="1"/>
    <xf numFmtId="165" fontId="0" fillId="14" borderId="4" xfId="1" applyNumberFormat="1" applyFont="1" applyFill="1" applyBorder="1"/>
    <xf numFmtId="165" fontId="0" fillId="14" borderId="2" xfId="1" applyNumberFormat="1" applyFont="1" applyFill="1" applyBorder="1"/>
    <xf numFmtId="165" fontId="2" fillId="14" borderId="37" xfId="0" applyNumberFormat="1" applyFont="1" applyFill="1" applyBorder="1"/>
    <xf numFmtId="0" fontId="5" fillId="17" borderId="42" xfId="0" applyFont="1" applyFill="1" applyBorder="1"/>
    <xf numFmtId="165" fontId="2" fillId="17" borderId="37" xfId="0" applyNumberFormat="1" applyFont="1" applyFill="1" applyBorder="1"/>
    <xf numFmtId="9" fontId="0" fillId="0" borderId="0" xfId="2" applyFont="1" applyFill="1" applyBorder="1" applyAlignment="1">
      <alignment horizontal="center" vertical="center"/>
    </xf>
    <xf numFmtId="0" fontId="2" fillId="0" borderId="0" xfId="0" applyFont="1" applyFill="1" applyBorder="1" applyAlignment="1">
      <alignment horizontal="center" vertical="center"/>
    </xf>
    <xf numFmtId="165" fontId="0" fillId="0" borderId="0" xfId="1" applyNumberFormat="1" applyFont="1" applyFill="1" applyBorder="1"/>
    <xf numFmtId="44" fontId="0" fillId="0" borderId="0" xfId="0" applyNumberFormat="1" applyFont="1" applyFill="1" applyBorder="1"/>
    <xf numFmtId="0" fontId="2" fillId="0" borderId="42" xfId="0" applyFont="1" applyFill="1" applyBorder="1"/>
    <xf numFmtId="0" fontId="0" fillId="0" borderId="55" xfId="0" applyFill="1" applyBorder="1" applyAlignment="1">
      <alignment horizontal="left" vertical="center"/>
    </xf>
    <xf numFmtId="44" fontId="0" fillId="18" borderId="48" xfId="0" applyNumberFormat="1" applyFont="1" applyFill="1" applyBorder="1" applyAlignment="1">
      <alignment horizontal="left" vertical="center"/>
    </xf>
    <xf numFmtId="43" fontId="0" fillId="16" borderId="52" xfId="3" applyFont="1" applyFill="1" applyBorder="1" applyAlignment="1">
      <alignment horizontal="left" vertical="center"/>
    </xf>
    <xf numFmtId="43" fontId="0" fillId="18" borderId="52" xfId="3" applyFont="1" applyFill="1" applyBorder="1" applyAlignment="1">
      <alignment horizontal="left" vertical="center"/>
    </xf>
    <xf numFmtId="9" fontId="0" fillId="0" borderId="0" xfId="2" applyFont="1" applyFill="1" applyAlignment="1">
      <alignment horizontal="center" vertical="center"/>
    </xf>
    <xf numFmtId="0" fontId="0" fillId="0" borderId="0" xfId="0" applyFill="1" applyAlignment="1">
      <alignment horizontal="center" vertical="center"/>
    </xf>
    <xf numFmtId="0" fontId="0" fillId="0" borderId="2" xfId="0" applyFont="1" applyBorder="1" applyAlignment="1">
      <alignment horizontal="center" vertical="center"/>
    </xf>
    <xf numFmtId="0" fontId="2" fillId="18" borderId="2" xfId="0" applyFont="1" applyFill="1" applyBorder="1" applyAlignment="1">
      <alignment horizontal="center" vertical="center" wrapText="1"/>
    </xf>
    <xf numFmtId="0" fontId="2" fillId="18" borderId="14" xfId="0" applyFont="1" applyFill="1" applyBorder="1" applyAlignment="1">
      <alignment horizontal="center" vertical="center"/>
    </xf>
    <xf numFmtId="0" fontId="5" fillId="18" borderId="42" xfId="0" applyFont="1" applyFill="1" applyBorder="1"/>
    <xf numFmtId="165" fontId="0" fillId="18" borderId="4" xfId="1" applyNumberFormat="1" applyFont="1" applyFill="1" applyBorder="1"/>
    <xf numFmtId="165" fontId="0" fillId="18" borderId="2" xfId="1" applyNumberFormat="1" applyFont="1" applyFill="1" applyBorder="1"/>
    <xf numFmtId="165" fontId="2" fillId="18" borderId="37" xfId="0" applyNumberFormat="1" applyFont="1" applyFill="1" applyBorder="1"/>
    <xf numFmtId="0" fontId="2" fillId="18" borderId="1" xfId="0" applyFont="1" applyFill="1" applyBorder="1" applyAlignment="1">
      <alignment horizontal="center"/>
    </xf>
    <xf numFmtId="164" fontId="0" fillId="18" borderId="20" xfId="3" applyNumberFormat="1" applyFont="1" applyFill="1" applyBorder="1"/>
    <xf numFmtId="164" fontId="0" fillId="18" borderId="37" xfId="3" applyNumberFormat="1" applyFont="1" applyFill="1" applyBorder="1" applyAlignment="1">
      <alignment horizontal="center" vertical="center"/>
    </xf>
    <xf numFmtId="0" fontId="2" fillId="19" borderId="2" xfId="0" applyFont="1" applyFill="1" applyBorder="1" applyAlignment="1">
      <alignment horizontal="center" vertical="center" wrapText="1"/>
    </xf>
    <xf numFmtId="0" fontId="0" fillId="4" borderId="2" xfId="3" applyNumberFormat="1" applyFont="1" applyFill="1" applyBorder="1" applyAlignment="1">
      <alignment horizontal="center" vertical="center" wrapText="1"/>
    </xf>
    <xf numFmtId="0" fontId="0" fillId="5" borderId="2" xfId="0" applyNumberFormat="1" applyFont="1" applyFill="1" applyBorder="1" applyAlignment="1">
      <alignment horizontal="center" vertical="center"/>
    </xf>
    <xf numFmtId="0" fontId="0" fillId="0" borderId="2" xfId="1" applyNumberFormat="1" applyFont="1" applyBorder="1" applyAlignment="1">
      <alignment horizontal="center" vertical="center"/>
    </xf>
    <xf numFmtId="0" fontId="0" fillId="5" borderId="2" xfId="1" applyNumberFormat="1" applyFont="1" applyFill="1" applyBorder="1" applyAlignment="1">
      <alignment horizontal="center" vertical="center"/>
    </xf>
    <xf numFmtId="0" fontId="0" fillId="0" borderId="2" xfId="1" applyNumberFormat="1" applyFont="1" applyFill="1" applyBorder="1" applyAlignment="1">
      <alignment horizontal="center" vertical="center"/>
    </xf>
    <xf numFmtId="0" fontId="0" fillId="4" borderId="2" xfId="0" applyNumberFormat="1" applyFont="1" applyFill="1" applyBorder="1" applyAlignment="1">
      <alignment horizontal="center" vertical="center"/>
    </xf>
    <xf numFmtId="0" fontId="0" fillId="2" borderId="2" xfId="0" applyNumberFormat="1" applyFont="1" applyFill="1" applyBorder="1" applyAlignment="1">
      <alignment horizontal="center" vertical="center"/>
    </xf>
    <xf numFmtId="0" fontId="0" fillId="0" borderId="2" xfId="0" applyNumberFormat="1" applyFont="1" applyFill="1" applyBorder="1" applyAlignment="1">
      <alignment horizontal="center" vertical="center"/>
    </xf>
    <xf numFmtId="0" fontId="0" fillId="19" borderId="2" xfId="0" applyFont="1" applyFill="1" applyBorder="1" applyAlignment="1">
      <alignment horizontal="center" vertical="center"/>
    </xf>
    <xf numFmtId="0" fontId="0" fillId="14" borderId="2" xfId="0" applyFont="1" applyFill="1" applyBorder="1" applyAlignment="1">
      <alignment horizontal="center" vertical="center"/>
    </xf>
    <xf numFmtId="165" fontId="2" fillId="19" borderId="2" xfId="1" applyNumberFormat="1" applyFont="1" applyFill="1" applyBorder="1" applyAlignment="1">
      <alignment horizontal="center" vertical="center" wrapText="1"/>
    </xf>
    <xf numFmtId="165" fontId="0" fillId="2" borderId="2" xfId="1" applyNumberFormat="1" applyFont="1" applyFill="1" applyBorder="1" applyAlignment="1">
      <alignment horizontal="center" vertical="center"/>
    </xf>
    <xf numFmtId="165" fontId="0" fillId="5" borderId="2" xfId="1" applyNumberFormat="1" applyFont="1" applyFill="1" applyBorder="1" applyAlignment="1">
      <alignment horizontal="center" vertical="center"/>
    </xf>
    <xf numFmtId="165" fontId="0" fillId="0" borderId="2" xfId="1" applyNumberFormat="1" applyFont="1" applyBorder="1" applyAlignment="1">
      <alignment horizontal="center" vertical="center"/>
    </xf>
    <xf numFmtId="165" fontId="0" fillId="0" borderId="2" xfId="1" applyNumberFormat="1" applyFont="1" applyFill="1" applyBorder="1" applyAlignment="1">
      <alignment horizontal="center" vertical="center"/>
    </xf>
    <xf numFmtId="165" fontId="0" fillId="4" borderId="2" xfId="1" applyNumberFormat="1" applyFont="1" applyFill="1" applyBorder="1" applyAlignment="1">
      <alignment horizontal="center" vertical="center"/>
    </xf>
    <xf numFmtId="165" fontId="0" fillId="0" borderId="0" xfId="1" applyNumberFormat="1" applyFont="1" applyFill="1" applyAlignment="1">
      <alignment horizontal="center" vertical="center"/>
    </xf>
    <xf numFmtId="0" fontId="0" fillId="0" borderId="2" xfId="3" applyNumberFormat="1" applyFont="1" applyFill="1" applyBorder="1" applyAlignment="1">
      <alignment horizontal="center" vertical="center"/>
    </xf>
    <xf numFmtId="165" fontId="0" fillId="14" borderId="57" xfId="1" applyNumberFormat="1" applyFont="1" applyFill="1" applyBorder="1" applyAlignment="1">
      <alignment horizontal="center" vertical="center"/>
    </xf>
    <xf numFmtId="165" fontId="0" fillId="19" borderId="24" xfId="1" applyNumberFormat="1" applyFont="1" applyFill="1" applyBorder="1" applyAlignment="1">
      <alignment horizontal="center" vertical="center"/>
    </xf>
    <xf numFmtId="164" fontId="0" fillId="18" borderId="26" xfId="3" applyNumberFormat="1" applyFont="1" applyFill="1" applyBorder="1"/>
    <xf numFmtId="0" fontId="0" fillId="4" borderId="24" xfId="0" applyFont="1" applyFill="1" applyBorder="1" applyAlignment="1">
      <alignment horizontal="left" vertical="top"/>
    </xf>
    <xf numFmtId="0" fontId="0" fillId="4" borderId="29" xfId="0" applyFont="1" applyFill="1" applyBorder="1" applyAlignment="1">
      <alignment horizontal="center" vertical="center"/>
    </xf>
    <xf numFmtId="0" fontId="0" fillId="17" borderId="29" xfId="0" applyFont="1" applyFill="1" applyBorder="1" applyAlignment="1">
      <alignment horizontal="center" vertical="center"/>
    </xf>
    <xf numFmtId="0" fontId="0" fillId="14" borderId="29" xfId="0" applyFont="1" applyFill="1" applyBorder="1" applyAlignment="1">
      <alignment horizontal="center" vertical="center"/>
    </xf>
    <xf numFmtId="0" fontId="0" fillId="18" borderId="29" xfId="0" applyFont="1" applyFill="1" applyBorder="1" applyAlignment="1">
      <alignment horizontal="center" vertical="center"/>
    </xf>
    <xf numFmtId="0" fontId="2" fillId="14" borderId="1" xfId="0" applyFont="1" applyFill="1" applyBorder="1" applyAlignment="1">
      <alignment horizontal="center"/>
    </xf>
    <xf numFmtId="164" fontId="0" fillId="14" borderId="26" xfId="3" applyNumberFormat="1" applyFont="1" applyFill="1" applyBorder="1"/>
    <xf numFmtId="164" fontId="0" fillId="14" borderId="20" xfId="3" applyNumberFormat="1" applyFont="1" applyFill="1" applyBorder="1"/>
    <xf numFmtId="164" fontId="0" fillId="14" borderId="37" xfId="3" applyNumberFormat="1" applyFont="1" applyFill="1" applyBorder="1" applyAlignment="1">
      <alignment horizontal="center" vertical="center"/>
    </xf>
    <xf numFmtId="164" fontId="0" fillId="18" borderId="54" xfId="3" applyNumberFormat="1" applyFont="1" applyFill="1" applyBorder="1"/>
    <xf numFmtId="164" fontId="0" fillId="14" borderId="54" xfId="3" applyNumberFormat="1" applyFont="1" applyFill="1" applyBorder="1"/>
    <xf numFmtId="164" fontId="0" fillId="18" borderId="39" xfId="3" applyNumberFormat="1" applyFont="1" applyFill="1" applyBorder="1"/>
    <xf numFmtId="164" fontId="0" fillId="14" borderId="39" xfId="3" applyNumberFormat="1" applyFont="1" applyFill="1" applyBorder="1"/>
    <xf numFmtId="0" fontId="2" fillId="17" borderId="1" xfId="0" applyFont="1" applyFill="1" applyBorder="1" applyAlignment="1">
      <alignment horizontal="center"/>
    </xf>
    <xf numFmtId="0" fontId="0" fillId="17" borderId="54" xfId="0" applyFont="1" applyFill="1" applyBorder="1"/>
    <xf numFmtId="164" fontId="0" fillId="17" borderId="37" xfId="0" applyNumberFormat="1" applyFont="1" applyFill="1" applyBorder="1" applyAlignment="1">
      <alignment horizontal="center" vertical="center"/>
    </xf>
    <xf numFmtId="164" fontId="0" fillId="17" borderId="39" xfId="0" applyNumberFormat="1" applyFont="1" applyFill="1" applyBorder="1"/>
    <xf numFmtId="164" fontId="0" fillId="17" borderId="20" xfId="3" applyNumberFormat="1" applyFont="1" applyFill="1" applyBorder="1"/>
    <xf numFmtId="164" fontId="0" fillId="17" borderId="37" xfId="3" applyNumberFormat="1" applyFont="1" applyFill="1" applyBorder="1" applyAlignment="1">
      <alignment horizontal="center" vertical="center"/>
    </xf>
    <xf numFmtId="165" fontId="0" fillId="0" borderId="0" xfId="0" applyNumberFormat="1" applyFont="1" applyFill="1" applyBorder="1"/>
    <xf numFmtId="44" fontId="0" fillId="0" borderId="0" xfId="0" applyNumberFormat="1" applyFont="1" applyFill="1" applyAlignment="1">
      <alignment horizontal="left" vertical="top"/>
    </xf>
    <xf numFmtId="0" fontId="0" fillId="0" borderId="0" xfId="3" applyNumberFormat="1" applyFont="1" applyFill="1" applyAlignment="1">
      <alignment horizontal="center" vertical="center" wrapText="1"/>
    </xf>
    <xf numFmtId="0" fontId="0" fillId="2" borderId="2" xfId="3" applyNumberFormat="1" applyFont="1" applyFill="1" applyBorder="1" applyAlignment="1">
      <alignment horizontal="center" vertical="center" wrapText="1"/>
    </xf>
    <xf numFmtId="0" fontId="0" fillId="2" borderId="2" xfId="0" applyFont="1" applyFill="1" applyBorder="1" applyAlignment="1">
      <alignment horizontal="left" vertical="center"/>
    </xf>
    <xf numFmtId="0" fontId="0" fillId="5" borderId="2" xfId="3" applyNumberFormat="1" applyFont="1" applyFill="1" applyBorder="1" applyAlignment="1">
      <alignment horizontal="center" vertical="center" wrapText="1"/>
    </xf>
    <xf numFmtId="0" fontId="0" fillId="5" borderId="2" xfId="0" applyFont="1" applyFill="1" applyBorder="1" applyAlignment="1">
      <alignment horizontal="left" vertical="center"/>
    </xf>
    <xf numFmtId="0" fontId="0" fillId="0" borderId="2" xfId="3" applyNumberFormat="1" applyFont="1" applyFill="1" applyBorder="1" applyAlignment="1">
      <alignment horizontal="center" vertical="center" wrapText="1"/>
    </xf>
    <xf numFmtId="44" fontId="0" fillId="0" borderId="2" xfId="1" applyFont="1" applyBorder="1" applyAlignment="1">
      <alignment horizontal="left" vertical="center"/>
    </xf>
    <xf numFmtId="44" fontId="0" fillId="5" borderId="2" xfId="1" applyFont="1" applyFill="1" applyBorder="1" applyAlignment="1">
      <alignment horizontal="left" vertical="center"/>
    </xf>
    <xf numFmtId="44" fontId="0" fillId="0" borderId="2" xfId="1" applyFont="1" applyFill="1" applyBorder="1" applyAlignment="1">
      <alignment horizontal="left" vertical="center"/>
    </xf>
    <xf numFmtId="0" fontId="0" fillId="4" borderId="2" xfId="0" applyFont="1" applyFill="1" applyBorder="1" applyAlignment="1">
      <alignment horizontal="left" vertical="center"/>
    </xf>
    <xf numFmtId="0" fontId="0" fillId="0" borderId="2" xfId="0" applyFont="1" applyFill="1" applyBorder="1" applyAlignment="1">
      <alignment horizontal="left" vertical="center"/>
    </xf>
    <xf numFmtId="0" fontId="0" fillId="7" borderId="38" xfId="0" applyFont="1" applyFill="1" applyBorder="1" applyAlignment="1">
      <alignment horizontal="left" vertical="center"/>
    </xf>
    <xf numFmtId="0" fontId="0" fillId="14" borderId="2" xfId="0" applyFont="1" applyFill="1" applyBorder="1" applyAlignment="1">
      <alignment horizontal="left" vertical="center"/>
    </xf>
    <xf numFmtId="0" fontId="0" fillId="0" borderId="0" xfId="0" applyFont="1" applyFill="1" applyAlignment="1">
      <alignment horizontal="left" vertical="center" wrapText="1"/>
    </xf>
    <xf numFmtId="0" fontId="0" fillId="0" borderId="0" xfId="0" applyFont="1" applyFill="1" applyBorder="1" applyAlignment="1">
      <alignment horizontal="left" vertical="center"/>
    </xf>
    <xf numFmtId="0" fontId="2" fillId="0" borderId="2"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2" borderId="2" xfId="0" applyFont="1" applyFill="1" applyBorder="1" applyAlignment="1">
      <alignment horizontal="left" vertical="center" wrapText="1"/>
    </xf>
    <xf numFmtId="0" fontId="0" fillId="5" borderId="2" xfId="0" applyFont="1" applyFill="1" applyBorder="1" applyAlignment="1">
      <alignment horizontal="left" vertical="center" wrapText="1"/>
    </xf>
    <xf numFmtId="0" fontId="0" fillId="4" borderId="2" xfId="0" applyFont="1" applyFill="1" applyBorder="1" applyAlignment="1">
      <alignment horizontal="right" vertical="center" wrapText="1"/>
    </xf>
    <xf numFmtId="0" fontId="0" fillId="0" borderId="2" xfId="0" applyFont="1" applyBorder="1" applyAlignment="1">
      <alignment horizontal="left" vertical="center" wrapText="1"/>
    </xf>
    <xf numFmtId="44" fontId="0" fillId="0" borderId="0" xfId="1" applyFont="1" applyFill="1" applyBorder="1" applyAlignment="1">
      <alignment horizontal="left" vertical="center"/>
    </xf>
    <xf numFmtId="9" fontId="0" fillId="0" borderId="0" xfId="2" applyFont="1" applyFill="1" applyBorder="1" applyAlignment="1">
      <alignment horizontal="left" vertical="center"/>
    </xf>
    <xf numFmtId="2" fontId="0" fillId="0" borderId="0" xfId="1" applyNumberFormat="1" applyFont="1" applyFill="1" applyBorder="1" applyAlignment="1">
      <alignment horizontal="left" vertical="center"/>
    </xf>
    <xf numFmtId="44" fontId="3" fillId="0" borderId="0" xfId="1" applyFont="1" applyFill="1" applyBorder="1" applyAlignment="1">
      <alignment horizontal="left" vertical="center"/>
    </xf>
    <xf numFmtId="0" fontId="2" fillId="7" borderId="22" xfId="0" applyFont="1" applyFill="1" applyBorder="1" applyAlignment="1">
      <alignment horizontal="right" vertical="center" wrapText="1"/>
    </xf>
    <xf numFmtId="0" fontId="0" fillId="14" borderId="2" xfId="0" applyFont="1" applyFill="1" applyBorder="1" applyAlignment="1">
      <alignment horizontal="right" vertical="center" wrapText="1"/>
    </xf>
    <xf numFmtId="0" fontId="0" fillId="3" borderId="4" xfId="0" applyFont="1" applyFill="1" applyBorder="1" applyAlignment="1">
      <alignment horizontal="left" vertical="center" wrapText="1"/>
    </xf>
    <xf numFmtId="0" fontId="0" fillId="3" borderId="2" xfId="0" applyFont="1" applyFill="1" applyBorder="1" applyAlignment="1">
      <alignment horizontal="left" vertical="center" wrapText="1"/>
    </xf>
    <xf numFmtId="0" fontId="0" fillId="3" borderId="6" xfId="0" applyFont="1" applyFill="1" applyBorder="1" applyAlignment="1">
      <alignment horizontal="center" vertical="center"/>
    </xf>
    <xf numFmtId="0" fontId="0" fillId="3" borderId="2" xfId="0" applyFont="1" applyFill="1" applyBorder="1" applyAlignment="1">
      <alignment horizontal="left" vertical="center"/>
    </xf>
    <xf numFmtId="0" fontId="0" fillId="3" borderId="5" xfId="0" applyFont="1" applyFill="1" applyBorder="1" applyAlignment="1">
      <alignment horizontal="left" vertical="center"/>
    </xf>
    <xf numFmtId="0" fontId="2" fillId="3" borderId="3" xfId="0" applyFont="1" applyFill="1" applyBorder="1" applyAlignment="1">
      <alignment horizontal="left" vertical="center"/>
    </xf>
    <xf numFmtId="0" fontId="2" fillId="3" borderId="7" xfId="0" applyFont="1" applyFill="1" applyBorder="1" applyAlignment="1">
      <alignment horizontal="center" vertical="center"/>
    </xf>
    <xf numFmtId="0" fontId="0" fillId="0" borderId="0" xfId="0" applyFont="1" applyAlignment="1">
      <alignment horizontal="left" vertical="center" wrapText="1"/>
    </xf>
    <xf numFmtId="164" fontId="0" fillId="0" borderId="0" xfId="3" applyNumberFormat="1" applyFont="1" applyFill="1" applyAlignment="1">
      <alignment horizontal="left" vertical="center"/>
    </xf>
    <xf numFmtId="164" fontId="2" fillId="0" borderId="2" xfId="3" applyNumberFormat="1" applyFont="1" applyFill="1" applyBorder="1" applyAlignment="1">
      <alignment horizontal="center" vertical="center" wrapText="1"/>
    </xf>
    <xf numFmtId="164" fontId="0" fillId="2" borderId="2" xfId="3" applyNumberFormat="1" applyFont="1" applyFill="1" applyBorder="1" applyAlignment="1">
      <alignment horizontal="left" vertical="center"/>
    </xf>
    <xf numFmtId="164" fontId="0" fillId="5" borderId="2" xfId="3" applyNumberFormat="1" applyFont="1" applyFill="1" applyBorder="1" applyAlignment="1">
      <alignment horizontal="left" vertical="center"/>
    </xf>
    <xf numFmtId="164" fontId="0" fillId="0" borderId="2" xfId="3" applyNumberFormat="1" applyFont="1" applyFill="1" applyBorder="1" applyAlignment="1">
      <alignment horizontal="left" vertical="center"/>
    </xf>
    <xf numFmtId="164" fontId="0" fillId="4" borderId="2" xfId="3" applyNumberFormat="1" applyFont="1" applyFill="1" applyBorder="1" applyAlignment="1">
      <alignment horizontal="left" vertical="center"/>
    </xf>
    <xf numFmtId="164" fontId="0" fillId="4" borderId="8" xfId="3" applyNumberFormat="1" applyFont="1" applyFill="1" applyBorder="1" applyAlignment="1">
      <alignment horizontal="left" vertical="center"/>
    </xf>
    <xf numFmtId="164" fontId="2" fillId="7" borderId="1" xfId="3" applyNumberFormat="1" applyFont="1" applyFill="1" applyBorder="1" applyAlignment="1">
      <alignment horizontal="left" vertical="center"/>
    </xf>
    <xf numFmtId="164" fontId="0" fillId="14" borderId="57" xfId="3" applyNumberFormat="1" applyFont="1" applyFill="1" applyBorder="1" applyAlignment="1">
      <alignment horizontal="left" vertical="center"/>
    </xf>
    <xf numFmtId="44" fontId="0" fillId="0" borderId="0" xfId="3" applyNumberFormat="1" applyFont="1" applyFill="1" applyAlignment="1">
      <alignment horizontal="center" vertical="top"/>
    </xf>
    <xf numFmtId="0" fontId="0" fillId="4" borderId="0" xfId="0" applyFont="1" applyFill="1" applyAlignment="1">
      <alignment horizontal="left" vertical="center"/>
    </xf>
    <xf numFmtId="0" fontId="0" fillId="4" borderId="0" xfId="3" applyNumberFormat="1" applyFont="1" applyFill="1" applyAlignment="1">
      <alignment horizontal="center" vertical="center" wrapText="1"/>
    </xf>
    <xf numFmtId="0" fontId="0" fillId="4" borderId="0" xfId="0" applyFont="1" applyFill="1" applyAlignment="1">
      <alignment horizontal="center" vertical="center"/>
    </xf>
    <xf numFmtId="165" fontId="0" fillId="4" borderId="8" xfId="1" applyNumberFormat="1" applyFont="1" applyFill="1" applyBorder="1" applyAlignment="1">
      <alignment horizontal="center" vertical="center"/>
    </xf>
    <xf numFmtId="0" fontId="0" fillId="6" borderId="2" xfId="0" applyFont="1" applyFill="1" applyBorder="1" applyAlignment="1">
      <alignment horizontal="left" vertical="center"/>
    </xf>
    <xf numFmtId="0" fontId="0" fillId="6" borderId="2" xfId="3" applyNumberFormat="1" applyFont="1" applyFill="1" applyBorder="1" applyAlignment="1">
      <alignment horizontal="center" vertical="center" wrapText="1"/>
    </xf>
    <xf numFmtId="0" fontId="2" fillId="4" borderId="8" xfId="0" applyFont="1" applyFill="1" applyBorder="1" applyAlignment="1">
      <alignment horizontal="right" vertical="center" wrapText="1"/>
    </xf>
    <xf numFmtId="0" fontId="0" fillId="4" borderId="8" xfId="0" applyFont="1" applyFill="1" applyBorder="1" applyAlignment="1">
      <alignment horizontal="left" vertical="center"/>
    </xf>
    <xf numFmtId="0" fontId="2" fillId="6" borderId="24" xfId="0" applyFont="1" applyFill="1" applyBorder="1" applyAlignment="1">
      <alignment horizontal="right" vertical="center" wrapText="1"/>
    </xf>
    <xf numFmtId="0" fontId="0" fillId="6" borderId="29" xfId="0" applyFont="1" applyFill="1" applyBorder="1" applyAlignment="1">
      <alignment horizontal="left" vertical="center"/>
    </xf>
    <xf numFmtId="164" fontId="0" fillId="6" borderId="29" xfId="3" applyNumberFormat="1" applyFont="1" applyFill="1" applyBorder="1" applyAlignment="1">
      <alignment horizontal="center" vertical="center"/>
    </xf>
    <xf numFmtId="164" fontId="0" fillId="17" borderId="29" xfId="3" applyNumberFormat="1" applyFont="1" applyFill="1" applyBorder="1" applyAlignment="1">
      <alignment horizontal="center" vertical="center"/>
    </xf>
    <xf numFmtId="164" fontId="0" fillId="14" borderId="29" xfId="3" applyNumberFormat="1" applyFont="1" applyFill="1" applyBorder="1" applyAlignment="1">
      <alignment horizontal="center" vertical="center"/>
    </xf>
    <xf numFmtId="0" fontId="0" fillId="0" borderId="0" xfId="0" applyFill="1" applyBorder="1" applyAlignment="1">
      <alignment horizontal="left" vertical="center"/>
    </xf>
    <xf numFmtId="0" fontId="6" fillId="0" borderId="0" xfId="0" applyFont="1" applyFill="1" applyBorder="1" applyAlignment="1"/>
    <xf numFmtId="0" fontId="2" fillId="20" borderId="2" xfId="0" applyFont="1" applyFill="1" applyBorder="1" applyAlignment="1">
      <alignment horizontal="center" vertical="center" wrapText="1"/>
    </xf>
    <xf numFmtId="0" fontId="0" fillId="20" borderId="29" xfId="0" applyFont="1" applyFill="1" applyBorder="1" applyAlignment="1">
      <alignment horizontal="center" vertical="center"/>
    </xf>
    <xf numFmtId="165" fontId="2" fillId="20" borderId="2" xfId="1" applyNumberFormat="1" applyFont="1" applyFill="1" applyBorder="1" applyAlignment="1">
      <alignment horizontal="center" vertical="center" wrapText="1"/>
    </xf>
    <xf numFmtId="165" fontId="0" fillId="20" borderId="29" xfId="1" applyNumberFormat="1" applyFont="1" applyFill="1" applyBorder="1" applyAlignment="1">
      <alignment horizontal="center" vertical="center"/>
    </xf>
    <xf numFmtId="165" fontId="0" fillId="0" borderId="0" xfId="1" applyNumberFormat="1" applyFont="1" applyAlignment="1">
      <alignment horizontal="center" vertical="center"/>
    </xf>
    <xf numFmtId="165" fontId="0" fillId="0" borderId="0" xfId="1" applyNumberFormat="1" applyFont="1" applyAlignment="1">
      <alignment vertical="center"/>
    </xf>
    <xf numFmtId="165" fontId="2" fillId="11" borderId="2" xfId="1" applyNumberFormat="1" applyFont="1" applyFill="1" applyBorder="1" applyAlignment="1">
      <alignment horizontal="center" vertical="center" wrapText="1"/>
    </xf>
    <xf numFmtId="165" fontId="0" fillId="17" borderId="29" xfId="1" applyNumberFormat="1" applyFont="1" applyFill="1" applyBorder="1" applyAlignment="1">
      <alignment horizontal="center" vertical="center"/>
    </xf>
    <xf numFmtId="165" fontId="2" fillId="14" borderId="2" xfId="1" applyNumberFormat="1" applyFont="1" applyFill="1" applyBorder="1" applyAlignment="1">
      <alignment horizontal="center" vertical="center" wrapText="1"/>
    </xf>
    <xf numFmtId="165" fontId="0" fillId="14" borderId="29" xfId="1" applyNumberFormat="1" applyFont="1" applyFill="1" applyBorder="1" applyAlignment="1">
      <alignment horizontal="center" vertical="center"/>
    </xf>
    <xf numFmtId="165" fontId="2" fillId="18" borderId="2" xfId="1" applyNumberFormat="1" applyFont="1" applyFill="1" applyBorder="1" applyAlignment="1">
      <alignment horizontal="center" vertical="center" wrapText="1"/>
    </xf>
    <xf numFmtId="165" fontId="0" fillId="0" borderId="2" xfId="1" applyNumberFormat="1" applyFont="1" applyFill="1" applyBorder="1" applyAlignment="1">
      <alignment horizontal="left" vertical="top"/>
    </xf>
    <xf numFmtId="165" fontId="0" fillId="18" borderId="25" xfId="1" applyNumberFormat="1" applyFont="1" applyFill="1" applyBorder="1" applyAlignment="1">
      <alignment horizontal="center" vertical="center"/>
    </xf>
    <xf numFmtId="165" fontId="2" fillId="0" borderId="2" xfId="1" applyNumberFormat="1" applyFont="1" applyBorder="1" applyAlignment="1">
      <alignment horizontal="center" vertical="center" wrapText="1"/>
    </xf>
    <xf numFmtId="165" fontId="2" fillId="6" borderId="17" xfId="1" applyNumberFormat="1" applyFont="1" applyFill="1" applyBorder="1" applyAlignment="1">
      <alignment horizontal="center" vertical="center"/>
    </xf>
    <xf numFmtId="165" fontId="0" fillId="0" borderId="0" xfId="1" applyNumberFormat="1" applyFont="1" applyBorder="1" applyAlignment="1">
      <alignment vertical="center"/>
    </xf>
    <xf numFmtId="165" fontId="0" fillId="2" borderId="2" xfId="1" applyNumberFormat="1" applyFont="1" applyFill="1" applyBorder="1" applyAlignment="1">
      <alignment horizontal="left" vertical="top"/>
    </xf>
    <xf numFmtId="165" fontId="0" fillId="4" borderId="2" xfId="1" applyNumberFormat="1" applyFont="1" applyFill="1" applyBorder="1" applyAlignment="1">
      <alignment horizontal="left" vertical="top"/>
    </xf>
    <xf numFmtId="165" fontId="0" fillId="5" borderId="2" xfId="1" applyNumberFormat="1" applyFont="1" applyFill="1" applyBorder="1" applyAlignment="1">
      <alignment horizontal="left" vertical="top"/>
    </xf>
    <xf numFmtId="165" fontId="0" fillId="4" borderId="8" xfId="1" applyNumberFormat="1" applyFont="1" applyFill="1" applyBorder="1" applyAlignment="1">
      <alignment horizontal="left" vertical="center"/>
    </xf>
    <xf numFmtId="165" fontId="0" fillId="0" borderId="0" xfId="1" applyNumberFormat="1" applyFont="1" applyFill="1" applyAlignment="1">
      <alignment horizontal="left" vertical="top"/>
    </xf>
    <xf numFmtId="165" fontId="0" fillId="17" borderId="29" xfId="1" applyNumberFormat="1" applyFont="1" applyFill="1" applyBorder="1" applyAlignment="1">
      <alignment horizontal="left" vertical="center"/>
    </xf>
    <xf numFmtId="165" fontId="2" fillId="0" borderId="2" xfId="1" applyNumberFormat="1" applyFont="1" applyFill="1" applyBorder="1" applyAlignment="1">
      <alignment horizontal="center" vertical="center" wrapText="1"/>
    </xf>
    <xf numFmtId="165" fontId="2" fillId="6" borderId="1" xfId="1" applyNumberFormat="1" applyFont="1" applyFill="1" applyBorder="1" applyAlignment="1">
      <alignment horizontal="left" vertical="center"/>
    </xf>
    <xf numFmtId="165" fontId="0" fillId="20" borderId="29" xfId="1" applyNumberFormat="1" applyFont="1" applyFill="1" applyBorder="1" applyAlignment="1">
      <alignment horizontal="left" vertical="center"/>
    </xf>
    <xf numFmtId="165" fontId="0" fillId="14" borderId="29" xfId="1" applyNumberFormat="1" applyFont="1" applyFill="1" applyBorder="1" applyAlignment="1">
      <alignment horizontal="left" vertical="center"/>
    </xf>
    <xf numFmtId="0" fontId="5" fillId="21" borderId="42" xfId="0" applyFont="1" applyFill="1" applyBorder="1" applyAlignment="1">
      <alignment horizontal="right"/>
    </xf>
    <xf numFmtId="0" fontId="0" fillId="21" borderId="0" xfId="0" applyFont="1" applyFill="1"/>
    <xf numFmtId="165" fontId="0" fillId="21" borderId="0" xfId="1" applyNumberFormat="1" applyFont="1" applyFill="1" applyBorder="1"/>
    <xf numFmtId="0" fontId="0" fillId="21" borderId="0" xfId="0" applyFont="1" applyFill="1" applyBorder="1"/>
    <xf numFmtId="0" fontId="5" fillId="21" borderId="58" xfId="0" applyFont="1" applyFill="1" applyBorder="1"/>
    <xf numFmtId="165" fontId="0" fillId="21" borderId="45" xfId="1" applyNumberFormat="1" applyFont="1" applyFill="1" applyBorder="1"/>
    <xf numFmtId="165" fontId="2" fillId="21" borderId="58" xfId="0" applyNumberFormat="1" applyFont="1" applyFill="1" applyBorder="1"/>
    <xf numFmtId="165" fontId="0" fillId="21" borderId="2" xfId="1" applyNumberFormat="1" applyFont="1" applyFill="1" applyBorder="1"/>
    <xf numFmtId="0" fontId="5" fillId="21" borderId="58" xfId="0" applyFont="1" applyFill="1" applyBorder="1" applyAlignment="1">
      <alignment horizontal="center" vertical="center"/>
    </xf>
    <xf numFmtId="0" fontId="2" fillId="16" borderId="43" xfId="0" applyFont="1" applyFill="1" applyBorder="1" applyAlignment="1">
      <alignment horizontal="center" vertical="center"/>
    </xf>
    <xf numFmtId="165" fontId="2" fillId="16" borderId="59" xfId="0" applyNumberFormat="1" applyFont="1" applyFill="1" applyBorder="1"/>
    <xf numFmtId="165" fontId="7" fillId="16" borderId="1" xfId="0" applyNumberFormat="1" applyFont="1" applyFill="1" applyBorder="1"/>
    <xf numFmtId="0" fontId="2" fillId="4" borderId="24" xfId="0" applyFont="1" applyFill="1" applyBorder="1" applyAlignment="1">
      <alignment horizontal="center" vertical="center"/>
    </xf>
    <xf numFmtId="165" fontId="0" fillId="4" borderId="29" xfId="1" applyNumberFormat="1" applyFont="1" applyFill="1" applyBorder="1"/>
    <xf numFmtId="165" fontId="0" fillId="4" borderId="46" xfId="1" applyNumberFormat="1" applyFont="1" applyFill="1" applyBorder="1"/>
    <xf numFmtId="165" fontId="0" fillId="4" borderId="1" xfId="0" applyNumberFormat="1" applyFont="1" applyFill="1" applyBorder="1"/>
    <xf numFmtId="0" fontId="2" fillId="4" borderId="24" xfId="0" applyFont="1" applyFill="1" applyBorder="1" applyAlignment="1">
      <alignment horizontal="right" vertical="center"/>
    </xf>
    <xf numFmtId="165" fontId="2" fillId="4" borderId="37" xfId="0" applyNumberFormat="1" applyFont="1" applyFill="1" applyBorder="1"/>
    <xf numFmtId="165" fontId="2" fillId="2" borderId="37" xfId="0" applyNumberFormat="1" applyFont="1" applyFill="1" applyBorder="1"/>
    <xf numFmtId="0" fontId="5" fillId="0" borderId="42" xfId="0" applyFont="1" applyFill="1" applyBorder="1"/>
    <xf numFmtId="165" fontId="0" fillId="0" borderId="45" xfId="1" applyNumberFormat="1" applyFont="1" applyFill="1" applyBorder="1"/>
    <xf numFmtId="165" fontId="0" fillId="0" borderId="60" xfId="1" applyNumberFormat="1" applyFont="1" applyFill="1" applyBorder="1"/>
    <xf numFmtId="165" fontId="0" fillId="0" borderId="61" xfId="1" applyNumberFormat="1" applyFont="1" applyFill="1" applyBorder="1"/>
    <xf numFmtId="165" fontId="0" fillId="2" borderId="2" xfId="0" applyNumberFormat="1" applyFont="1" applyFill="1" applyBorder="1"/>
    <xf numFmtId="165" fontId="0" fillId="0" borderId="2" xfId="0" applyNumberFormat="1" applyFont="1" applyBorder="1"/>
    <xf numFmtId="0" fontId="0" fillId="0" borderId="2" xfId="0" applyFont="1" applyBorder="1" applyAlignment="1"/>
    <xf numFmtId="0" fontId="0" fillId="0" borderId="2" xfId="0" applyFont="1" applyBorder="1" applyAlignment="1">
      <alignment vertical="center" wrapText="1"/>
    </xf>
    <xf numFmtId="0" fontId="2" fillId="3" borderId="30" xfId="0" applyFont="1" applyFill="1" applyBorder="1" applyAlignment="1">
      <alignment horizontal="center"/>
    </xf>
    <xf numFmtId="0" fontId="2" fillId="3" borderId="12" xfId="0" applyFont="1" applyFill="1" applyBorder="1" applyAlignment="1">
      <alignment horizontal="center"/>
    </xf>
    <xf numFmtId="0" fontId="2" fillId="3" borderId="11" xfId="0" applyFont="1" applyFill="1" applyBorder="1" applyAlignment="1">
      <alignment horizontal="center" vertical="top" wrapText="1"/>
    </xf>
    <xf numFmtId="0" fontId="2" fillId="3" borderId="12" xfId="0" applyFont="1" applyFill="1" applyBorder="1" applyAlignment="1">
      <alignment horizontal="center" vertical="top" wrapText="1"/>
    </xf>
    <xf numFmtId="0" fontId="2" fillId="3" borderId="13" xfId="0" applyFont="1" applyFill="1" applyBorder="1" applyAlignment="1">
      <alignment horizontal="center" vertical="top" wrapText="1"/>
    </xf>
    <xf numFmtId="0" fontId="4" fillId="11" borderId="53" xfId="0" applyFont="1" applyFill="1" applyBorder="1" applyAlignment="1">
      <alignment horizontal="center" vertical="center"/>
    </xf>
    <xf numFmtId="0" fontId="2" fillId="14" borderId="53" xfId="0" applyFont="1" applyFill="1" applyBorder="1" applyAlignment="1">
      <alignment horizontal="center" vertical="center"/>
    </xf>
    <xf numFmtId="0" fontId="2" fillId="18" borderId="53" xfId="0" applyFont="1" applyFill="1" applyBorder="1" applyAlignment="1">
      <alignment horizontal="center" vertical="center"/>
    </xf>
    <xf numFmtId="0" fontId="8" fillId="20" borderId="53"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19" borderId="53" xfId="0" applyFont="1" applyFill="1" applyBorder="1" applyAlignment="1">
      <alignment horizontal="center" vertical="center" wrapText="1"/>
    </xf>
    <xf numFmtId="0" fontId="2" fillId="19" borderId="56" xfId="0" applyFont="1" applyFill="1" applyBorder="1" applyAlignment="1">
      <alignment horizontal="center" vertical="center" wrapText="1"/>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FF33CC"/>
      <color rgb="FFFFFF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Invoice Trends and Cost Projections</a:t>
            </a:r>
            <a:endParaRPr lang="en-US" baseline="0"/>
          </a:p>
        </c:rich>
      </c:tx>
      <c:layout>
        <c:manualLayout>
          <c:xMode val="edge"/>
          <c:yMode val="edge"/>
          <c:x val="0.34029120965714682"/>
          <c:y val="2.364865179408541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v>EPA + DTSC Invoices</c:v>
          </c:tx>
          <c:spPr>
            <a:ln w="28575" cap="rnd">
              <a:solidFill>
                <a:srgbClr val="FF0000"/>
              </a:solidFill>
              <a:round/>
            </a:ln>
            <a:effectLst/>
          </c:spPr>
          <c:marker>
            <c:symbol val="none"/>
          </c:marker>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D18-4ADF-BB57-1A616D2077D1}"/>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D18-4ADF-BB57-1A616D2077D1}"/>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D18-4ADF-BB57-1A616D2077D1}"/>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D18-4ADF-BB57-1A616D2077D1}"/>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D18-4ADF-BB57-1A616D2077D1}"/>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D18-4ADF-BB57-1A616D2077D1}"/>
                </c:ext>
              </c:extLst>
            </c:dLbl>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D18-4ADF-BB57-1A616D2077D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name>Trend EPA + DTSC Costs</c:name>
            <c:spPr>
              <a:ln w="38100" cap="rnd">
                <a:solidFill>
                  <a:srgbClr val="FF0000"/>
                </a:solidFill>
                <a:prstDash val="sysDot"/>
              </a:ln>
              <a:effectLst/>
            </c:spPr>
            <c:trendlineType val="linear"/>
            <c:forward val="5"/>
            <c:dispRSqr val="0"/>
            <c:dispEq val="0"/>
          </c:trendline>
          <c:cat>
            <c:strLit>
              <c:ptCount val="13"/>
              <c:pt idx="0">
                <c:v>FY08/09</c:v>
              </c:pt>
              <c:pt idx="1">
                <c:v>FY09/10</c:v>
              </c:pt>
              <c:pt idx="2">
                <c:v>FY10/11</c:v>
              </c:pt>
              <c:pt idx="3">
                <c:v>FY11/12</c:v>
              </c:pt>
              <c:pt idx="4">
                <c:v>FY12/13</c:v>
              </c:pt>
              <c:pt idx="5">
                <c:v>FY13/14</c:v>
              </c:pt>
              <c:pt idx="6">
                <c:v>FY14/15</c:v>
              </c:pt>
              <c:pt idx="7">
                <c:v>FY15/16</c:v>
              </c:pt>
              <c:pt idx="8">
                <c:v>FY16/17</c:v>
              </c:pt>
              <c:pt idx="9">
                <c:v>FY17/18</c:v>
              </c:pt>
              <c:pt idx="10">
                <c:v>FY18/19</c:v>
              </c:pt>
              <c:pt idx="11">
                <c:v>FY19/20</c:v>
              </c:pt>
              <c:pt idx="12">
                <c:v>FY20/21</c:v>
              </c:pt>
            </c:strLit>
          </c:cat>
          <c:val>
            <c:numLit>
              <c:formatCode>General</c:formatCode>
              <c:ptCount val="9"/>
              <c:pt idx="1">
                <c:v>265781</c:v>
              </c:pt>
              <c:pt idx="2">
                <c:v>204461</c:v>
              </c:pt>
              <c:pt idx="3">
                <c:v>311874</c:v>
              </c:pt>
              <c:pt idx="4">
                <c:v>223638</c:v>
              </c:pt>
              <c:pt idx="5">
                <c:v>236644</c:v>
              </c:pt>
              <c:pt idx="6">
                <c:v>265902</c:v>
              </c:pt>
              <c:pt idx="7">
                <c:v>258861</c:v>
              </c:pt>
              <c:pt idx="8">
                <c:v>380272</c:v>
              </c:pt>
            </c:numLit>
          </c:val>
          <c:smooth val="0"/>
          <c:extLst>
            <c:ext xmlns:c16="http://schemas.microsoft.com/office/drawing/2014/chart" uri="{C3380CC4-5D6E-409C-BE32-E72D297353CC}">
              <c16:uniqueId val="{00000008-6D18-4ADF-BB57-1A616D2077D1}"/>
            </c:ext>
          </c:extLst>
        </c:ser>
        <c:ser>
          <c:idx val="0"/>
          <c:order val="1"/>
          <c:tx>
            <c:v>EPA Year invoice</c:v>
          </c:tx>
          <c:spPr>
            <a:ln w="28575" cap="rnd">
              <a:solidFill>
                <a:schemeClr val="accent6"/>
              </a:solidFill>
              <a:round/>
            </a:ln>
            <a:effectLst/>
          </c:spPr>
          <c:marker>
            <c:symbol val="none"/>
          </c:marker>
          <c:trendline>
            <c:name>Trend EPA costs</c:name>
            <c:spPr>
              <a:ln w="38100" cap="rnd">
                <a:solidFill>
                  <a:schemeClr val="accent6"/>
                </a:solidFill>
                <a:prstDash val="sysDot"/>
              </a:ln>
              <a:effectLst/>
            </c:spPr>
            <c:trendlineType val="linear"/>
            <c:forward val="5"/>
            <c:dispRSqr val="0"/>
            <c:dispEq val="0"/>
          </c:trendline>
          <c:cat>
            <c:strLit>
              <c:ptCount val="13"/>
              <c:pt idx="0">
                <c:v>FY08/09</c:v>
              </c:pt>
              <c:pt idx="1">
                <c:v>FY09/10</c:v>
              </c:pt>
              <c:pt idx="2">
                <c:v>FY10/11</c:v>
              </c:pt>
              <c:pt idx="3">
                <c:v>FY11/12</c:v>
              </c:pt>
              <c:pt idx="4">
                <c:v>FY12/13</c:v>
              </c:pt>
              <c:pt idx="5">
                <c:v>FY13/14</c:v>
              </c:pt>
              <c:pt idx="6">
                <c:v>FY14/15</c:v>
              </c:pt>
              <c:pt idx="7">
                <c:v>FY15/16</c:v>
              </c:pt>
              <c:pt idx="8">
                <c:v>FY16/17</c:v>
              </c:pt>
              <c:pt idx="9">
                <c:v>FY17/18</c:v>
              </c:pt>
              <c:pt idx="10">
                <c:v>FY18/19</c:v>
              </c:pt>
              <c:pt idx="11">
                <c:v>FY19/20</c:v>
              </c:pt>
              <c:pt idx="12">
                <c:v>FY20/21</c:v>
              </c:pt>
            </c:strLit>
          </c:cat>
          <c:val>
            <c:numLit>
              <c:formatCode>General</c:formatCode>
              <c:ptCount val="9"/>
              <c:pt idx="0">
                <c:v>300000</c:v>
              </c:pt>
              <c:pt idx="1">
                <c:v>119206</c:v>
              </c:pt>
              <c:pt idx="2">
                <c:v>123941</c:v>
              </c:pt>
              <c:pt idx="3">
                <c:v>193790</c:v>
              </c:pt>
              <c:pt idx="4">
                <c:v>133735</c:v>
              </c:pt>
              <c:pt idx="5">
                <c:v>122168</c:v>
              </c:pt>
              <c:pt idx="6">
                <c:v>141452</c:v>
              </c:pt>
              <c:pt idx="7">
                <c:v>162625</c:v>
              </c:pt>
              <c:pt idx="8">
                <c:v>241473</c:v>
              </c:pt>
            </c:numLit>
          </c:val>
          <c:smooth val="0"/>
          <c:extLst>
            <c:ext xmlns:c16="http://schemas.microsoft.com/office/drawing/2014/chart" uri="{C3380CC4-5D6E-409C-BE32-E72D297353CC}">
              <c16:uniqueId val="{0000000A-6D18-4ADF-BB57-1A616D2077D1}"/>
            </c:ext>
          </c:extLst>
        </c:ser>
        <c:ser>
          <c:idx val="1"/>
          <c:order val="2"/>
          <c:tx>
            <c:v>DTSC Year invoice</c:v>
          </c:tx>
          <c:spPr>
            <a:ln w="28575" cap="rnd">
              <a:solidFill>
                <a:schemeClr val="accent5"/>
              </a:solidFill>
              <a:round/>
            </a:ln>
            <a:effectLst/>
          </c:spPr>
          <c:marker>
            <c:symbol val="none"/>
          </c:marker>
          <c:trendline>
            <c:name>Trend DTSC Costs</c:name>
            <c:spPr>
              <a:ln w="38100" cap="rnd">
                <a:solidFill>
                  <a:schemeClr val="accent5"/>
                </a:solidFill>
                <a:prstDash val="sysDot"/>
              </a:ln>
              <a:effectLst/>
            </c:spPr>
            <c:trendlineType val="linear"/>
            <c:forward val="5"/>
            <c:dispRSqr val="0"/>
            <c:dispEq val="0"/>
          </c:trendline>
          <c:cat>
            <c:strLit>
              <c:ptCount val="13"/>
              <c:pt idx="0">
                <c:v>FY08/09</c:v>
              </c:pt>
              <c:pt idx="1">
                <c:v>FY09/10</c:v>
              </c:pt>
              <c:pt idx="2">
                <c:v>FY10/11</c:v>
              </c:pt>
              <c:pt idx="3">
                <c:v>FY11/12</c:v>
              </c:pt>
              <c:pt idx="4">
                <c:v>FY12/13</c:v>
              </c:pt>
              <c:pt idx="5">
                <c:v>FY13/14</c:v>
              </c:pt>
              <c:pt idx="6">
                <c:v>FY14/15</c:v>
              </c:pt>
              <c:pt idx="7">
                <c:v>FY15/16</c:v>
              </c:pt>
              <c:pt idx="8">
                <c:v>FY16/17</c:v>
              </c:pt>
              <c:pt idx="9">
                <c:v>FY17/18</c:v>
              </c:pt>
              <c:pt idx="10">
                <c:v>FY18/19</c:v>
              </c:pt>
              <c:pt idx="11">
                <c:v>FY19/20</c:v>
              </c:pt>
              <c:pt idx="12">
                <c:v>FY20/21</c:v>
              </c:pt>
            </c:strLit>
          </c:cat>
          <c:val>
            <c:numLit>
              <c:formatCode>General</c:formatCode>
              <c:ptCount val="9"/>
              <c:pt idx="0">
                <c:v>0</c:v>
              </c:pt>
              <c:pt idx="1">
                <c:v>146575</c:v>
              </c:pt>
              <c:pt idx="2">
                <c:v>80520</c:v>
              </c:pt>
              <c:pt idx="3">
                <c:v>118084</c:v>
              </c:pt>
              <c:pt idx="4">
                <c:v>89903</c:v>
              </c:pt>
              <c:pt idx="5">
                <c:v>114476</c:v>
              </c:pt>
              <c:pt idx="6">
                <c:v>124450</c:v>
              </c:pt>
              <c:pt idx="7">
                <c:v>96236</c:v>
              </c:pt>
              <c:pt idx="8">
                <c:v>138799</c:v>
              </c:pt>
            </c:numLit>
          </c:val>
          <c:smooth val="0"/>
          <c:extLst>
            <c:ext xmlns:c16="http://schemas.microsoft.com/office/drawing/2014/chart" uri="{C3380CC4-5D6E-409C-BE32-E72D297353CC}">
              <c16:uniqueId val="{0000000C-6D18-4ADF-BB57-1A616D2077D1}"/>
            </c:ext>
          </c:extLst>
        </c:ser>
        <c:dLbls>
          <c:showLegendKey val="0"/>
          <c:showVal val="0"/>
          <c:showCatName val="0"/>
          <c:showSerName val="0"/>
          <c:showPercent val="0"/>
          <c:showBubbleSize val="0"/>
        </c:dLbls>
        <c:smooth val="0"/>
        <c:axId val="307057072"/>
        <c:axId val="307057464"/>
      </c:lineChart>
      <c:catAx>
        <c:axId val="30705707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cross"/>
        <c:minorTickMark val="cross"/>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7057464"/>
        <c:crosses val="autoZero"/>
        <c:auto val="1"/>
        <c:lblAlgn val="ctr"/>
        <c:lblOffset val="100"/>
        <c:noMultiLvlLbl val="0"/>
      </c:catAx>
      <c:valAx>
        <c:axId val="307057464"/>
        <c:scaling>
          <c:orientation val="minMax"/>
          <c:min val="5000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cross"/>
        <c:minorTickMark val="cross"/>
        <c:tickLblPos val="nextTo"/>
        <c:spPr>
          <a:noFill/>
          <a:ln>
            <a:solidFill>
              <a:schemeClr val="accent4"/>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7057072"/>
        <c:crosses val="autoZero"/>
        <c:crossBetween val="midCat"/>
      </c:valAx>
      <c:spPr>
        <a:noFill/>
        <a:ln>
          <a:noFill/>
        </a:ln>
        <a:effectLst/>
      </c:spPr>
    </c:plotArea>
    <c:legend>
      <c:legendPos val="r"/>
      <c:layout>
        <c:manualLayout>
          <c:xMode val="edge"/>
          <c:yMode val="edge"/>
          <c:x val="0.30204779032990492"/>
          <c:y val="7.5151194644852787E-2"/>
          <c:w val="0.21338171836269024"/>
          <c:h val="0.19953689608652056"/>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Invoice Trends and Cost Projections</a:t>
            </a:r>
            <a:endParaRPr lang="en-US" baseline="0"/>
          </a:p>
        </c:rich>
      </c:tx>
      <c:layout>
        <c:manualLayout>
          <c:xMode val="edge"/>
          <c:yMode val="edge"/>
          <c:x val="0.34029120965714682"/>
          <c:y val="2.364865179408541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EPA Year invoice</c:v>
          </c:tx>
          <c:spPr>
            <a:ln w="28575" cap="rnd">
              <a:solidFill>
                <a:schemeClr val="accent6"/>
              </a:solidFill>
              <a:round/>
            </a:ln>
            <a:effectLst/>
          </c:spPr>
          <c:marker>
            <c:symbol val="none"/>
          </c:marker>
          <c:trendline>
            <c:name>Trend EPA costs</c:name>
            <c:spPr>
              <a:ln w="38100" cap="rnd">
                <a:solidFill>
                  <a:schemeClr val="accent6"/>
                </a:solidFill>
                <a:prstDash val="dash"/>
              </a:ln>
              <a:effectLst/>
            </c:spPr>
            <c:trendlineType val="linear"/>
            <c:forward val="5"/>
            <c:dispRSqr val="0"/>
            <c:dispEq val="0"/>
          </c:trendline>
          <c:cat>
            <c:strLit>
              <c:ptCount val="13"/>
              <c:pt idx="0">
                <c:v>FY08/09</c:v>
              </c:pt>
              <c:pt idx="1">
                <c:v>FY09/10</c:v>
              </c:pt>
              <c:pt idx="2">
                <c:v>FY10/11</c:v>
              </c:pt>
              <c:pt idx="3">
                <c:v>FY11/12</c:v>
              </c:pt>
              <c:pt idx="4">
                <c:v>FY12/13</c:v>
              </c:pt>
              <c:pt idx="5">
                <c:v>FY13/14</c:v>
              </c:pt>
              <c:pt idx="6">
                <c:v>FY14/15</c:v>
              </c:pt>
              <c:pt idx="7">
                <c:v>FY15/16</c:v>
              </c:pt>
              <c:pt idx="8">
                <c:v>FY16/17</c:v>
              </c:pt>
              <c:pt idx="9">
                <c:v>FY17/18</c:v>
              </c:pt>
              <c:pt idx="10">
                <c:v>FY18/19</c:v>
              </c:pt>
              <c:pt idx="11">
                <c:v>FY19/20</c:v>
              </c:pt>
              <c:pt idx="12">
                <c:v>FY20/21</c:v>
              </c:pt>
            </c:strLit>
          </c:cat>
          <c:val>
            <c:numLit>
              <c:formatCode>General</c:formatCode>
              <c:ptCount val="9"/>
              <c:pt idx="0">
                <c:v>300000</c:v>
              </c:pt>
              <c:pt idx="1">
                <c:v>119206</c:v>
              </c:pt>
              <c:pt idx="2">
                <c:v>123941</c:v>
              </c:pt>
              <c:pt idx="3">
                <c:v>193790</c:v>
              </c:pt>
              <c:pt idx="4">
                <c:v>133735</c:v>
              </c:pt>
              <c:pt idx="5">
                <c:v>122168</c:v>
              </c:pt>
              <c:pt idx="6">
                <c:v>141452</c:v>
              </c:pt>
              <c:pt idx="7">
                <c:v>162625</c:v>
              </c:pt>
              <c:pt idx="8">
                <c:v>241473</c:v>
              </c:pt>
            </c:numLit>
          </c:val>
          <c:smooth val="0"/>
          <c:extLst>
            <c:ext xmlns:c16="http://schemas.microsoft.com/office/drawing/2014/chart" uri="{C3380CC4-5D6E-409C-BE32-E72D297353CC}">
              <c16:uniqueId val="{00000001-1A19-4623-B6AF-1775ED6F2D01}"/>
            </c:ext>
          </c:extLst>
        </c:ser>
        <c:ser>
          <c:idx val="1"/>
          <c:order val="1"/>
          <c:tx>
            <c:v>DTSC Year invoice</c:v>
          </c:tx>
          <c:spPr>
            <a:ln w="28575" cap="rnd">
              <a:solidFill>
                <a:schemeClr val="accent5"/>
              </a:solidFill>
              <a:round/>
            </a:ln>
            <a:effectLst/>
          </c:spPr>
          <c:marker>
            <c:symbol val="none"/>
          </c:marker>
          <c:trendline>
            <c:name>Trend DTSC Costs</c:name>
            <c:spPr>
              <a:ln w="38100" cap="rnd">
                <a:solidFill>
                  <a:schemeClr val="accent5"/>
                </a:solidFill>
                <a:prstDash val="dash"/>
              </a:ln>
              <a:effectLst/>
            </c:spPr>
            <c:trendlineType val="linear"/>
            <c:forward val="5"/>
            <c:dispRSqr val="0"/>
            <c:dispEq val="0"/>
          </c:trendline>
          <c:cat>
            <c:strLit>
              <c:ptCount val="13"/>
              <c:pt idx="0">
                <c:v>FY08/09</c:v>
              </c:pt>
              <c:pt idx="1">
                <c:v>FY09/10</c:v>
              </c:pt>
              <c:pt idx="2">
                <c:v>FY10/11</c:v>
              </c:pt>
              <c:pt idx="3">
                <c:v>FY11/12</c:v>
              </c:pt>
              <c:pt idx="4">
                <c:v>FY12/13</c:v>
              </c:pt>
              <c:pt idx="5">
                <c:v>FY13/14</c:v>
              </c:pt>
              <c:pt idx="6">
                <c:v>FY14/15</c:v>
              </c:pt>
              <c:pt idx="7">
                <c:v>FY15/16</c:v>
              </c:pt>
              <c:pt idx="8">
                <c:v>FY16/17</c:v>
              </c:pt>
              <c:pt idx="9">
                <c:v>FY17/18</c:v>
              </c:pt>
              <c:pt idx="10">
                <c:v>FY18/19</c:v>
              </c:pt>
              <c:pt idx="11">
                <c:v>FY19/20</c:v>
              </c:pt>
              <c:pt idx="12">
                <c:v>FY20/21</c:v>
              </c:pt>
            </c:strLit>
          </c:cat>
          <c:val>
            <c:numLit>
              <c:formatCode>General</c:formatCode>
              <c:ptCount val="9"/>
              <c:pt idx="0">
                <c:v>0</c:v>
              </c:pt>
              <c:pt idx="1">
                <c:v>146575</c:v>
              </c:pt>
              <c:pt idx="2">
                <c:v>80520</c:v>
              </c:pt>
              <c:pt idx="3">
                <c:v>118084</c:v>
              </c:pt>
              <c:pt idx="4">
                <c:v>89903</c:v>
              </c:pt>
              <c:pt idx="5">
                <c:v>114476</c:v>
              </c:pt>
              <c:pt idx="6">
                <c:v>124450</c:v>
              </c:pt>
              <c:pt idx="7">
                <c:v>96236</c:v>
              </c:pt>
              <c:pt idx="8">
                <c:v>138799</c:v>
              </c:pt>
            </c:numLit>
          </c:val>
          <c:smooth val="0"/>
          <c:extLst>
            <c:ext xmlns:c16="http://schemas.microsoft.com/office/drawing/2014/chart" uri="{C3380CC4-5D6E-409C-BE32-E72D297353CC}">
              <c16:uniqueId val="{00000003-1A19-4623-B6AF-1775ED6F2D01}"/>
            </c:ext>
          </c:extLst>
        </c:ser>
        <c:dLbls>
          <c:showLegendKey val="0"/>
          <c:showVal val="0"/>
          <c:showCatName val="0"/>
          <c:showSerName val="0"/>
          <c:showPercent val="0"/>
          <c:showBubbleSize val="0"/>
        </c:dLbls>
        <c:smooth val="0"/>
        <c:axId val="307058248"/>
        <c:axId val="307058640"/>
      </c:lineChart>
      <c:catAx>
        <c:axId val="3070582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cross"/>
        <c:minorTickMark val="cross"/>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7058640"/>
        <c:crosses val="autoZero"/>
        <c:auto val="1"/>
        <c:lblAlgn val="ctr"/>
        <c:lblOffset val="100"/>
        <c:noMultiLvlLbl val="0"/>
      </c:catAx>
      <c:valAx>
        <c:axId val="307058640"/>
        <c:scaling>
          <c:orientation val="minMax"/>
          <c:min val="5000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cross"/>
        <c:minorTickMark val="cross"/>
        <c:tickLblPos val="nextTo"/>
        <c:spPr>
          <a:noFill/>
          <a:ln>
            <a:solidFill>
              <a:schemeClr val="accent4"/>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7058248"/>
        <c:crosses val="autoZero"/>
        <c:crossBetween val="midCat"/>
      </c:valAx>
      <c:spPr>
        <a:noFill/>
        <a:ln>
          <a:noFill/>
        </a:ln>
        <a:effectLst/>
      </c:spPr>
    </c:plotArea>
    <c:legend>
      <c:legendPos val="r"/>
      <c:layout>
        <c:manualLayout>
          <c:xMode val="edge"/>
          <c:yMode val="edge"/>
          <c:x val="0.30204779032990492"/>
          <c:y val="7.5151194644852787E-2"/>
          <c:w val="0.21338171836269024"/>
          <c:h val="0.19953689608652056"/>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EPA + DTSC Invoice Trends and Cost Projections</a:t>
            </a:r>
            <a:endParaRPr lang="en-US" baseline="0"/>
          </a:p>
        </c:rich>
      </c:tx>
      <c:layout>
        <c:manualLayout>
          <c:xMode val="edge"/>
          <c:yMode val="edge"/>
          <c:x val="0.34029120965714682"/>
          <c:y val="2.364865179408541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v>EPA + DTSC Invoices</c:v>
          </c:tx>
          <c:spPr>
            <a:ln w="28575" cap="rnd">
              <a:solidFill>
                <a:srgbClr val="FF0000"/>
              </a:solidFill>
              <a:round/>
            </a:ln>
            <a:effectLst/>
          </c:spPr>
          <c:marker>
            <c:symbol val="none"/>
          </c:marker>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E54-4199-ABD3-B592D0F818CD}"/>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E54-4199-ABD3-B592D0F818CD}"/>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E54-4199-ABD3-B592D0F818CD}"/>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E54-4199-ABD3-B592D0F818CD}"/>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E54-4199-ABD3-B592D0F818CD}"/>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E54-4199-ABD3-B592D0F818CD}"/>
                </c:ext>
              </c:extLst>
            </c:dLbl>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E54-4199-ABD3-B592D0F818C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name>Trend EPA + DTSC Costs</c:name>
            <c:spPr>
              <a:ln w="38100" cap="rnd">
                <a:solidFill>
                  <a:srgbClr val="FF0000"/>
                </a:solidFill>
                <a:prstDash val="sysDot"/>
              </a:ln>
              <a:effectLst/>
            </c:spPr>
            <c:trendlineType val="linear"/>
            <c:forward val="5"/>
            <c:dispRSqr val="0"/>
            <c:dispEq val="0"/>
          </c:trendline>
          <c:cat>
            <c:strLit>
              <c:ptCount val="13"/>
              <c:pt idx="0">
                <c:v>FY08/09</c:v>
              </c:pt>
              <c:pt idx="1">
                <c:v>FY09/10</c:v>
              </c:pt>
              <c:pt idx="2">
                <c:v>FY10/11</c:v>
              </c:pt>
              <c:pt idx="3">
                <c:v>FY11/12</c:v>
              </c:pt>
              <c:pt idx="4">
                <c:v>FY12/13</c:v>
              </c:pt>
              <c:pt idx="5">
                <c:v>FY13/14</c:v>
              </c:pt>
              <c:pt idx="6">
                <c:v>FY14/15</c:v>
              </c:pt>
              <c:pt idx="7">
                <c:v>FY15/16</c:v>
              </c:pt>
              <c:pt idx="8">
                <c:v>FY16/17</c:v>
              </c:pt>
              <c:pt idx="9">
                <c:v>FY17/18</c:v>
              </c:pt>
              <c:pt idx="10">
                <c:v>FY18/19</c:v>
              </c:pt>
              <c:pt idx="11">
                <c:v>FY19/20</c:v>
              </c:pt>
              <c:pt idx="12">
                <c:v>FY20/21</c:v>
              </c:pt>
            </c:strLit>
          </c:cat>
          <c:val>
            <c:numLit>
              <c:formatCode>General</c:formatCode>
              <c:ptCount val="9"/>
              <c:pt idx="1">
                <c:v>265781</c:v>
              </c:pt>
              <c:pt idx="2">
                <c:v>204461</c:v>
              </c:pt>
              <c:pt idx="3">
                <c:v>311874</c:v>
              </c:pt>
              <c:pt idx="4">
                <c:v>223638</c:v>
              </c:pt>
              <c:pt idx="5">
                <c:v>236644</c:v>
              </c:pt>
              <c:pt idx="6">
                <c:v>265902</c:v>
              </c:pt>
              <c:pt idx="7">
                <c:v>258861</c:v>
              </c:pt>
              <c:pt idx="8">
                <c:v>380272</c:v>
              </c:pt>
            </c:numLit>
          </c:val>
          <c:smooth val="0"/>
          <c:extLst>
            <c:ext xmlns:c16="http://schemas.microsoft.com/office/drawing/2014/chart" uri="{C3380CC4-5D6E-409C-BE32-E72D297353CC}">
              <c16:uniqueId val="{00000008-9E54-4199-ABD3-B592D0F818CD}"/>
            </c:ext>
          </c:extLst>
        </c:ser>
        <c:dLbls>
          <c:showLegendKey val="0"/>
          <c:showVal val="0"/>
          <c:showCatName val="0"/>
          <c:showSerName val="0"/>
          <c:showPercent val="0"/>
          <c:showBubbleSize val="0"/>
        </c:dLbls>
        <c:smooth val="0"/>
        <c:axId val="307059424"/>
        <c:axId val="305864744"/>
      </c:lineChart>
      <c:catAx>
        <c:axId val="30705942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cross"/>
        <c:minorTickMark val="cross"/>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5864744"/>
        <c:crosses val="autoZero"/>
        <c:auto val="1"/>
        <c:lblAlgn val="ctr"/>
        <c:lblOffset val="100"/>
        <c:noMultiLvlLbl val="0"/>
      </c:catAx>
      <c:valAx>
        <c:axId val="305864744"/>
        <c:scaling>
          <c:orientation val="minMax"/>
          <c:min val="20000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cross"/>
        <c:minorTickMark val="cross"/>
        <c:tickLblPos val="nextTo"/>
        <c:spPr>
          <a:noFill/>
          <a:ln>
            <a:solidFill>
              <a:schemeClr val="accent4"/>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7059424"/>
        <c:crosses val="autoZero"/>
        <c:crossBetween val="midCat"/>
      </c:valAx>
      <c:spPr>
        <a:noFill/>
        <a:ln>
          <a:noFill/>
        </a:ln>
        <a:effectLst/>
      </c:spPr>
    </c:plotArea>
    <c:legend>
      <c:legendPos val="r"/>
      <c:layout>
        <c:manualLayout>
          <c:xMode val="edge"/>
          <c:yMode val="edge"/>
          <c:x val="0.30204779032990492"/>
          <c:y val="7.5151194644852787E-2"/>
          <c:w val="0.21338171836269024"/>
          <c:h val="0.19953689608652056"/>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ESCA Documents per Year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FF0000"/>
                </a:solidFill>
                <a:prstDash val="dash"/>
              </a:ln>
              <a:effectLst/>
            </c:spPr>
            <c:trendlineType val="linear"/>
            <c:forward val="5"/>
            <c:dispRSqr val="0"/>
            <c:dispEq val="0"/>
          </c:trendline>
          <c:cat>
            <c:strLit>
              <c:ptCount val="9"/>
              <c:pt idx="0">
                <c:v>YR-2008</c:v>
              </c:pt>
              <c:pt idx="1">
                <c:v>YR-2009</c:v>
              </c:pt>
              <c:pt idx="2">
                <c:v>YR-2010</c:v>
              </c:pt>
              <c:pt idx="3">
                <c:v>YR-2011</c:v>
              </c:pt>
              <c:pt idx="4">
                <c:v>YR-2012</c:v>
              </c:pt>
              <c:pt idx="5">
                <c:v>YR-2013</c:v>
              </c:pt>
              <c:pt idx="6">
                <c:v>YR-2014</c:v>
              </c:pt>
              <c:pt idx="7">
                <c:v>YR-2015</c:v>
              </c:pt>
              <c:pt idx="8">
                <c:v>YR-2016</c:v>
              </c:pt>
            </c:strLit>
          </c:cat>
          <c:val>
            <c:numLit>
              <c:formatCode>General</c:formatCode>
              <c:ptCount val="9"/>
              <c:pt idx="0">
                <c:v>10</c:v>
              </c:pt>
              <c:pt idx="1">
                <c:v>14</c:v>
              </c:pt>
              <c:pt idx="2">
                <c:v>12</c:v>
              </c:pt>
              <c:pt idx="3">
                <c:v>15</c:v>
              </c:pt>
              <c:pt idx="4">
                <c:v>11</c:v>
              </c:pt>
              <c:pt idx="5">
                <c:v>26</c:v>
              </c:pt>
              <c:pt idx="6">
                <c:v>15</c:v>
              </c:pt>
              <c:pt idx="7">
                <c:v>14</c:v>
              </c:pt>
              <c:pt idx="8">
                <c:v>17</c:v>
              </c:pt>
            </c:numLit>
          </c:val>
          <c:smooth val="0"/>
          <c:extLst>
            <c:ext xmlns:c16="http://schemas.microsoft.com/office/drawing/2014/chart" uri="{C3380CC4-5D6E-409C-BE32-E72D297353CC}">
              <c16:uniqueId val="{00000001-EF22-43BB-BCCE-06F6446E154A}"/>
            </c:ext>
          </c:extLst>
        </c:ser>
        <c:dLbls>
          <c:showLegendKey val="0"/>
          <c:showVal val="0"/>
          <c:showCatName val="0"/>
          <c:showSerName val="0"/>
          <c:showPercent val="0"/>
          <c:showBubbleSize val="0"/>
        </c:dLbls>
        <c:smooth val="0"/>
        <c:axId val="305865528"/>
        <c:axId val="305865920"/>
      </c:lineChart>
      <c:catAx>
        <c:axId val="3058655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cross"/>
        <c:minorTickMark val="cross"/>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5865920"/>
        <c:crosses val="autoZero"/>
        <c:auto val="1"/>
        <c:lblAlgn val="ctr"/>
        <c:lblOffset val="100"/>
        <c:noMultiLvlLbl val="0"/>
      </c:catAx>
      <c:valAx>
        <c:axId val="3058659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58655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32657</xdr:colOff>
      <xdr:row>11</xdr:row>
      <xdr:rowOff>10886</xdr:rowOff>
    </xdr:from>
    <xdr:to>
      <xdr:col>11</xdr:col>
      <xdr:colOff>1132114</xdr:colOff>
      <xdr:row>45</xdr:row>
      <xdr:rowOff>163285</xdr:rowOff>
    </xdr:to>
    <xdr:graphicFrame macro="">
      <xdr:nvGraphicFramePr>
        <xdr:cNvPr id="2" name="Chart 1">
          <a:extLst>
            <a:ext uri="{FF2B5EF4-FFF2-40B4-BE49-F238E27FC236}">
              <a16:creationId xmlns:a16="http://schemas.microsoft.com/office/drawing/2014/main" id="{7897DE3A-43BE-4B16-A959-BA84A07FB0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1066801</xdr:colOff>
      <xdr:row>13</xdr:row>
      <xdr:rowOff>119743</xdr:rowOff>
    </xdr:from>
    <xdr:to>
      <xdr:col>8</xdr:col>
      <xdr:colOff>1077685</xdr:colOff>
      <xdr:row>44</xdr:row>
      <xdr:rowOff>43544</xdr:rowOff>
    </xdr:to>
    <xdr:cxnSp macro="">
      <xdr:nvCxnSpPr>
        <xdr:cNvPr id="3" name="Straight Connector 2">
          <a:extLst>
            <a:ext uri="{FF2B5EF4-FFF2-40B4-BE49-F238E27FC236}">
              <a16:creationId xmlns:a16="http://schemas.microsoft.com/office/drawing/2014/main" id="{2DA72EE0-E1B3-47D0-90DD-7EE45CFFFF58}"/>
            </a:ext>
          </a:extLst>
        </xdr:cNvPr>
        <xdr:cNvCxnSpPr/>
      </xdr:nvCxnSpPr>
      <xdr:spPr>
        <a:xfrm flipV="1">
          <a:off x="8366761" y="4950823"/>
          <a:ext cx="3264" cy="5593081"/>
        </a:xfrm>
        <a:prstGeom prst="line">
          <a:avLst/>
        </a:prstGeom>
        <a:ln w="25400">
          <a:solidFill>
            <a:srgbClr val="7030A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32657</xdr:colOff>
      <xdr:row>52</xdr:row>
      <xdr:rowOff>10886</xdr:rowOff>
    </xdr:from>
    <xdr:to>
      <xdr:col>11</xdr:col>
      <xdr:colOff>1132114</xdr:colOff>
      <xdr:row>86</xdr:row>
      <xdr:rowOff>163285</xdr:rowOff>
    </xdr:to>
    <xdr:graphicFrame macro="">
      <xdr:nvGraphicFramePr>
        <xdr:cNvPr id="4" name="Chart 3">
          <a:extLst>
            <a:ext uri="{FF2B5EF4-FFF2-40B4-BE49-F238E27FC236}">
              <a16:creationId xmlns:a16="http://schemas.microsoft.com/office/drawing/2014/main" id="{D354AFC0-8B1F-4D54-91B6-A4A2FFCCCB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1066801</xdr:colOff>
      <xdr:row>54</xdr:row>
      <xdr:rowOff>119743</xdr:rowOff>
    </xdr:from>
    <xdr:to>
      <xdr:col>8</xdr:col>
      <xdr:colOff>1077685</xdr:colOff>
      <xdr:row>85</xdr:row>
      <xdr:rowOff>43544</xdr:rowOff>
    </xdr:to>
    <xdr:cxnSp macro="">
      <xdr:nvCxnSpPr>
        <xdr:cNvPr id="5" name="Straight Connector 4">
          <a:extLst>
            <a:ext uri="{FF2B5EF4-FFF2-40B4-BE49-F238E27FC236}">
              <a16:creationId xmlns:a16="http://schemas.microsoft.com/office/drawing/2014/main" id="{E09C3725-9106-4570-80AA-FA24632EC92B}"/>
            </a:ext>
          </a:extLst>
        </xdr:cNvPr>
        <xdr:cNvCxnSpPr/>
      </xdr:nvCxnSpPr>
      <xdr:spPr>
        <a:xfrm flipV="1">
          <a:off x="8366761" y="12448903"/>
          <a:ext cx="3264" cy="5593081"/>
        </a:xfrm>
        <a:prstGeom prst="line">
          <a:avLst/>
        </a:prstGeom>
        <a:ln w="25400">
          <a:solidFill>
            <a:srgbClr val="7030A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89</xdr:row>
      <xdr:rowOff>0</xdr:rowOff>
    </xdr:from>
    <xdr:to>
      <xdr:col>11</xdr:col>
      <xdr:colOff>1099457</xdr:colOff>
      <xdr:row>123</xdr:row>
      <xdr:rowOff>152400</xdr:rowOff>
    </xdr:to>
    <xdr:graphicFrame macro="">
      <xdr:nvGraphicFramePr>
        <xdr:cNvPr id="6" name="Chart 5">
          <a:extLst>
            <a:ext uri="{FF2B5EF4-FFF2-40B4-BE49-F238E27FC236}">
              <a16:creationId xmlns:a16="http://schemas.microsoft.com/office/drawing/2014/main" id="{C95B570E-EDB1-4C6B-BBA5-D2CD6412D6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1045030</xdr:colOff>
      <xdr:row>91</xdr:row>
      <xdr:rowOff>97972</xdr:rowOff>
    </xdr:from>
    <xdr:to>
      <xdr:col>8</xdr:col>
      <xdr:colOff>1055914</xdr:colOff>
      <xdr:row>122</xdr:row>
      <xdr:rowOff>21773</xdr:rowOff>
    </xdr:to>
    <xdr:cxnSp macro="">
      <xdr:nvCxnSpPr>
        <xdr:cNvPr id="7" name="Straight Connector 6">
          <a:extLst>
            <a:ext uri="{FF2B5EF4-FFF2-40B4-BE49-F238E27FC236}">
              <a16:creationId xmlns:a16="http://schemas.microsoft.com/office/drawing/2014/main" id="{D4F4B17F-F448-440D-BAEA-85EF5CB0A248}"/>
            </a:ext>
          </a:extLst>
        </xdr:cNvPr>
        <xdr:cNvCxnSpPr/>
      </xdr:nvCxnSpPr>
      <xdr:spPr>
        <a:xfrm flipV="1">
          <a:off x="8367850" y="19193692"/>
          <a:ext cx="0" cy="5593081"/>
        </a:xfrm>
        <a:prstGeom prst="line">
          <a:avLst/>
        </a:prstGeom>
        <a:ln w="25400">
          <a:solidFill>
            <a:srgbClr val="7030A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128</xdr:row>
      <xdr:rowOff>125186</xdr:rowOff>
    </xdr:from>
    <xdr:to>
      <xdr:col>11</xdr:col>
      <xdr:colOff>1193800</xdr:colOff>
      <xdr:row>160</xdr:row>
      <xdr:rowOff>157843</xdr:rowOff>
    </xdr:to>
    <xdr:graphicFrame macro="">
      <xdr:nvGraphicFramePr>
        <xdr:cNvPr id="8" name="Chart 7">
          <a:extLst>
            <a:ext uri="{FF2B5EF4-FFF2-40B4-BE49-F238E27FC236}">
              <a16:creationId xmlns:a16="http://schemas.microsoft.com/office/drawing/2014/main" id="{FEBF7735-23ED-4BC0-BB99-59E38A7A02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0.78482</cdr:x>
      <cdr:y>0.05541</cdr:y>
    </cdr:from>
    <cdr:to>
      <cdr:x>0.82152</cdr:x>
      <cdr:y>0.0625</cdr:y>
    </cdr:to>
    <cdr:sp macro="" textlink="">
      <cdr:nvSpPr>
        <cdr:cNvPr id="2" name="TextBox 1">
          <a:extLst xmlns:a="http://schemas.openxmlformats.org/drawingml/2006/main">
            <a:ext uri="{FF2B5EF4-FFF2-40B4-BE49-F238E27FC236}">
              <a16:creationId xmlns:a16="http://schemas.microsoft.com/office/drawing/2014/main" id="{B97FF272-A8F4-48D1-A398-A3A56DC93BF9}"/>
            </a:ext>
          </a:extLst>
        </cdr:cNvPr>
        <cdr:cNvSpPr txBox="1"/>
      </cdr:nvSpPr>
      <cdr:spPr>
        <a:xfrm xmlns:a="http://schemas.openxmlformats.org/drawingml/2006/main">
          <a:off x="10243457" y="357053"/>
          <a:ext cx="478972"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April 30, 2018</a:t>
          </a:r>
        </a:p>
      </cdr:txBody>
    </cdr:sp>
  </cdr:relSizeAnchor>
  <cdr:relSizeAnchor xmlns:cdr="http://schemas.openxmlformats.org/drawingml/2006/chartDrawing">
    <cdr:from>
      <cdr:x>0.7548</cdr:x>
      <cdr:y>0.03378</cdr:y>
    </cdr:from>
    <cdr:to>
      <cdr:x>0.8457</cdr:x>
      <cdr:y>0.0625</cdr:y>
    </cdr:to>
    <cdr:sp macro="" textlink="">
      <cdr:nvSpPr>
        <cdr:cNvPr id="3" name="TextBox 2">
          <a:extLst xmlns:a="http://schemas.openxmlformats.org/drawingml/2006/main">
            <a:ext uri="{FF2B5EF4-FFF2-40B4-BE49-F238E27FC236}">
              <a16:creationId xmlns:a16="http://schemas.microsoft.com/office/drawing/2014/main" id="{E7F6F8FC-5769-48E6-815A-9FB0234CD864}"/>
            </a:ext>
          </a:extLst>
        </cdr:cNvPr>
        <cdr:cNvSpPr txBox="1"/>
      </cdr:nvSpPr>
      <cdr:spPr>
        <a:xfrm xmlns:a="http://schemas.openxmlformats.org/drawingml/2006/main">
          <a:off x="9851571" y="217714"/>
          <a:ext cx="1186542" cy="185057"/>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US" sz="1100"/>
            <a:t>March, 2018</a:t>
          </a:r>
        </a:p>
      </cdr:txBody>
    </cdr:sp>
  </cdr:relSizeAnchor>
  <cdr:relSizeAnchor xmlns:cdr="http://schemas.openxmlformats.org/drawingml/2006/chartDrawing">
    <cdr:from>
      <cdr:x>0.92077</cdr:x>
      <cdr:y>0.1723</cdr:y>
    </cdr:from>
    <cdr:to>
      <cdr:x>0.99083</cdr:x>
      <cdr:y>0.31419</cdr:y>
    </cdr:to>
    <cdr:sp macro="" textlink="">
      <cdr:nvSpPr>
        <cdr:cNvPr id="4" name="TextBox 3">
          <a:extLst xmlns:a="http://schemas.openxmlformats.org/drawingml/2006/main">
            <a:ext uri="{FF2B5EF4-FFF2-40B4-BE49-F238E27FC236}">
              <a16:creationId xmlns:a16="http://schemas.microsoft.com/office/drawing/2014/main" id="{1E9A5B0A-EC88-4C39-9867-A25C7B8EAC07}"/>
            </a:ext>
          </a:extLst>
        </cdr:cNvPr>
        <cdr:cNvSpPr txBox="1"/>
      </cdr:nvSpPr>
      <cdr:spPr>
        <a:xfrm xmlns:a="http://schemas.openxmlformats.org/drawingml/2006/main">
          <a:off x="12017829" y="1110343"/>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c:userShapes xmlns:c="http://schemas.openxmlformats.org/drawingml/2006/chart">
  <cdr:relSizeAnchor xmlns:cdr="http://schemas.openxmlformats.org/drawingml/2006/chartDrawing">
    <cdr:from>
      <cdr:x>0.78482</cdr:x>
      <cdr:y>0.05541</cdr:y>
    </cdr:from>
    <cdr:to>
      <cdr:x>0.82152</cdr:x>
      <cdr:y>0.0625</cdr:y>
    </cdr:to>
    <cdr:sp macro="" textlink="">
      <cdr:nvSpPr>
        <cdr:cNvPr id="2" name="TextBox 1">
          <a:extLst xmlns:a="http://schemas.openxmlformats.org/drawingml/2006/main">
            <a:ext uri="{FF2B5EF4-FFF2-40B4-BE49-F238E27FC236}">
              <a16:creationId xmlns:a16="http://schemas.microsoft.com/office/drawing/2014/main" id="{B97FF272-A8F4-48D1-A398-A3A56DC93BF9}"/>
            </a:ext>
          </a:extLst>
        </cdr:cNvPr>
        <cdr:cNvSpPr txBox="1"/>
      </cdr:nvSpPr>
      <cdr:spPr>
        <a:xfrm xmlns:a="http://schemas.openxmlformats.org/drawingml/2006/main">
          <a:off x="10243457" y="357053"/>
          <a:ext cx="478972"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April 30, 2018</a:t>
          </a:r>
        </a:p>
      </cdr:txBody>
    </cdr:sp>
  </cdr:relSizeAnchor>
  <cdr:relSizeAnchor xmlns:cdr="http://schemas.openxmlformats.org/drawingml/2006/chartDrawing">
    <cdr:from>
      <cdr:x>0.7548</cdr:x>
      <cdr:y>0.03378</cdr:y>
    </cdr:from>
    <cdr:to>
      <cdr:x>0.8457</cdr:x>
      <cdr:y>0.0625</cdr:y>
    </cdr:to>
    <cdr:sp macro="" textlink="">
      <cdr:nvSpPr>
        <cdr:cNvPr id="3" name="TextBox 2">
          <a:extLst xmlns:a="http://schemas.openxmlformats.org/drawingml/2006/main">
            <a:ext uri="{FF2B5EF4-FFF2-40B4-BE49-F238E27FC236}">
              <a16:creationId xmlns:a16="http://schemas.microsoft.com/office/drawing/2014/main" id="{E7F6F8FC-5769-48E6-815A-9FB0234CD864}"/>
            </a:ext>
          </a:extLst>
        </cdr:cNvPr>
        <cdr:cNvSpPr txBox="1"/>
      </cdr:nvSpPr>
      <cdr:spPr>
        <a:xfrm xmlns:a="http://schemas.openxmlformats.org/drawingml/2006/main">
          <a:off x="9851571" y="217714"/>
          <a:ext cx="1186542" cy="185057"/>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US" sz="1100"/>
            <a:t>March, 2018</a:t>
          </a:r>
        </a:p>
      </cdr:txBody>
    </cdr:sp>
  </cdr:relSizeAnchor>
  <cdr:relSizeAnchor xmlns:cdr="http://schemas.openxmlformats.org/drawingml/2006/chartDrawing">
    <cdr:from>
      <cdr:x>0.92077</cdr:x>
      <cdr:y>0.1723</cdr:y>
    </cdr:from>
    <cdr:to>
      <cdr:x>0.99083</cdr:x>
      <cdr:y>0.31419</cdr:y>
    </cdr:to>
    <cdr:sp macro="" textlink="">
      <cdr:nvSpPr>
        <cdr:cNvPr id="4" name="TextBox 3">
          <a:extLst xmlns:a="http://schemas.openxmlformats.org/drawingml/2006/main">
            <a:ext uri="{FF2B5EF4-FFF2-40B4-BE49-F238E27FC236}">
              <a16:creationId xmlns:a16="http://schemas.microsoft.com/office/drawing/2014/main" id="{1E9A5B0A-EC88-4C39-9867-A25C7B8EAC07}"/>
            </a:ext>
          </a:extLst>
        </cdr:cNvPr>
        <cdr:cNvSpPr txBox="1"/>
      </cdr:nvSpPr>
      <cdr:spPr>
        <a:xfrm xmlns:a="http://schemas.openxmlformats.org/drawingml/2006/main">
          <a:off x="12017829" y="1110343"/>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0.59466</cdr:x>
      <cdr:y>0.26014</cdr:y>
    </cdr:from>
    <cdr:to>
      <cdr:x>0.66472</cdr:x>
      <cdr:y>0.29561</cdr:y>
    </cdr:to>
    <cdr:sp macro="" textlink="">
      <cdr:nvSpPr>
        <cdr:cNvPr id="5" name="TextBox 4">
          <a:extLst xmlns:a="http://schemas.openxmlformats.org/drawingml/2006/main">
            <a:ext uri="{FF2B5EF4-FFF2-40B4-BE49-F238E27FC236}">
              <a16:creationId xmlns:a16="http://schemas.microsoft.com/office/drawing/2014/main" id="{414ECD35-C67F-45AB-AC99-A44D49502306}"/>
            </a:ext>
          </a:extLst>
        </cdr:cNvPr>
        <cdr:cNvSpPr txBox="1"/>
      </cdr:nvSpPr>
      <cdr:spPr>
        <a:xfrm xmlns:a="http://schemas.openxmlformats.org/drawingml/2006/main">
          <a:off x="7761515" y="1676400"/>
          <a:ext cx="914400"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b="1">
              <a:solidFill>
                <a:schemeClr val="accent6">
                  <a:lumMod val="75000"/>
                </a:schemeClr>
              </a:solidFill>
            </a:rPr>
            <a:t>EPA</a:t>
          </a:r>
        </a:p>
      </cdr:txBody>
    </cdr:sp>
  </cdr:relSizeAnchor>
  <cdr:relSizeAnchor xmlns:cdr="http://schemas.openxmlformats.org/drawingml/2006/chartDrawing">
    <cdr:from>
      <cdr:x>0.59883</cdr:x>
      <cdr:y>0.63176</cdr:y>
    </cdr:from>
    <cdr:to>
      <cdr:x>0.65221</cdr:x>
      <cdr:y>0.66554</cdr:y>
    </cdr:to>
    <cdr:sp macro="" textlink="">
      <cdr:nvSpPr>
        <cdr:cNvPr id="7" name="TextBox 6">
          <a:extLst xmlns:a="http://schemas.openxmlformats.org/drawingml/2006/main">
            <a:ext uri="{FF2B5EF4-FFF2-40B4-BE49-F238E27FC236}">
              <a16:creationId xmlns:a16="http://schemas.microsoft.com/office/drawing/2014/main" id="{98D4B57A-DAC6-4D58-BEB5-44699CAD9129}"/>
            </a:ext>
          </a:extLst>
        </cdr:cNvPr>
        <cdr:cNvSpPr txBox="1"/>
      </cdr:nvSpPr>
      <cdr:spPr>
        <a:xfrm xmlns:a="http://schemas.openxmlformats.org/drawingml/2006/main">
          <a:off x="7815943" y="4071257"/>
          <a:ext cx="696686" cy="21771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b="1">
              <a:solidFill>
                <a:schemeClr val="accent1">
                  <a:lumMod val="50000"/>
                </a:schemeClr>
              </a:solidFill>
            </a:rPr>
            <a:t>DTSC</a:t>
          </a:r>
        </a:p>
      </cdr:txBody>
    </cdr:sp>
  </cdr:relSizeAnchor>
</c:userShapes>
</file>

<file path=xl/drawings/drawing4.xml><?xml version="1.0" encoding="utf-8"?>
<c:userShapes xmlns:c="http://schemas.openxmlformats.org/drawingml/2006/chart">
  <cdr:relSizeAnchor xmlns:cdr="http://schemas.openxmlformats.org/drawingml/2006/chartDrawing">
    <cdr:from>
      <cdr:x>0.78482</cdr:x>
      <cdr:y>0.05541</cdr:y>
    </cdr:from>
    <cdr:to>
      <cdr:x>0.82152</cdr:x>
      <cdr:y>0.0625</cdr:y>
    </cdr:to>
    <cdr:sp macro="" textlink="">
      <cdr:nvSpPr>
        <cdr:cNvPr id="2" name="TextBox 1">
          <a:extLst xmlns:a="http://schemas.openxmlformats.org/drawingml/2006/main">
            <a:ext uri="{FF2B5EF4-FFF2-40B4-BE49-F238E27FC236}">
              <a16:creationId xmlns:a16="http://schemas.microsoft.com/office/drawing/2014/main" id="{B97FF272-A8F4-48D1-A398-A3A56DC93BF9}"/>
            </a:ext>
          </a:extLst>
        </cdr:cNvPr>
        <cdr:cNvSpPr txBox="1"/>
      </cdr:nvSpPr>
      <cdr:spPr>
        <a:xfrm xmlns:a="http://schemas.openxmlformats.org/drawingml/2006/main">
          <a:off x="10243457" y="357053"/>
          <a:ext cx="478972"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April 30, 2018</a:t>
          </a:r>
        </a:p>
      </cdr:txBody>
    </cdr:sp>
  </cdr:relSizeAnchor>
  <cdr:relSizeAnchor xmlns:cdr="http://schemas.openxmlformats.org/drawingml/2006/chartDrawing">
    <cdr:from>
      <cdr:x>0.7548</cdr:x>
      <cdr:y>0.03378</cdr:y>
    </cdr:from>
    <cdr:to>
      <cdr:x>0.8457</cdr:x>
      <cdr:y>0.0625</cdr:y>
    </cdr:to>
    <cdr:sp macro="" textlink="">
      <cdr:nvSpPr>
        <cdr:cNvPr id="3" name="TextBox 2">
          <a:extLst xmlns:a="http://schemas.openxmlformats.org/drawingml/2006/main">
            <a:ext uri="{FF2B5EF4-FFF2-40B4-BE49-F238E27FC236}">
              <a16:creationId xmlns:a16="http://schemas.microsoft.com/office/drawing/2014/main" id="{E7F6F8FC-5769-48E6-815A-9FB0234CD864}"/>
            </a:ext>
          </a:extLst>
        </cdr:cNvPr>
        <cdr:cNvSpPr txBox="1"/>
      </cdr:nvSpPr>
      <cdr:spPr>
        <a:xfrm xmlns:a="http://schemas.openxmlformats.org/drawingml/2006/main">
          <a:off x="9851571" y="217714"/>
          <a:ext cx="1186542" cy="185057"/>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US" sz="1100"/>
            <a:t>March, 2018</a:t>
          </a:r>
        </a:p>
      </cdr:txBody>
    </cdr:sp>
  </cdr:relSizeAnchor>
  <cdr:relSizeAnchor xmlns:cdr="http://schemas.openxmlformats.org/drawingml/2006/chartDrawing">
    <cdr:from>
      <cdr:x>0.92077</cdr:x>
      <cdr:y>0.1723</cdr:y>
    </cdr:from>
    <cdr:to>
      <cdr:x>0.99083</cdr:x>
      <cdr:y>0.31419</cdr:y>
    </cdr:to>
    <cdr:sp macro="" textlink="">
      <cdr:nvSpPr>
        <cdr:cNvPr id="4" name="TextBox 3">
          <a:extLst xmlns:a="http://schemas.openxmlformats.org/drawingml/2006/main">
            <a:ext uri="{FF2B5EF4-FFF2-40B4-BE49-F238E27FC236}">
              <a16:creationId xmlns:a16="http://schemas.microsoft.com/office/drawing/2014/main" id="{1E9A5B0A-EC88-4C39-9867-A25C7B8EAC07}"/>
            </a:ext>
          </a:extLst>
        </cdr:cNvPr>
        <cdr:cNvSpPr txBox="1"/>
      </cdr:nvSpPr>
      <cdr:spPr>
        <a:xfrm xmlns:a="http://schemas.openxmlformats.org/drawingml/2006/main">
          <a:off x="12017829" y="1110343"/>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9"/>
  <sheetViews>
    <sheetView zoomScale="70" zoomScaleNormal="70" workbookViewId="0">
      <selection sqref="A1:A29"/>
    </sheetView>
  </sheetViews>
  <sheetFormatPr defaultRowHeight="15" x14ac:dyDescent="0.25"/>
  <cols>
    <col min="1" max="1" width="115.85546875" customWidth="1"/>
  </cols>
  <sheetData>
    <row r="1" spans="1:1" x14ac:dyDescent="0.25">
      <c r="A1" s="251" t="s">
        <v>401</v>
      </c>
    </row>
    <row r="2" spans="1:1" x14ac:dyDescent="0.25">
      <c r="A2" s="252" t="s">
        <v>400</v>
      </c>
    </row>
    <row r="3" spans="1:1" x14ac:dyDescent="0.25">
      <c r="A3" s="252"/>
    </row>
    <row r="4" spans="1:1" x14ac:dyDescent="0.25">
      <c r="A4" s="252"/>
    </row>
    <row r="5" spans="1:1" x14ac:dyDescent="0.25">
      <c r="A5" s="252" t="s">
        <v>399</v>
      </c>
    </row>
    <row r="6" spans="1:1" x14ac:dyDescent="0.25">
      <c r="A6" s="252"/>
    </row>
    <row r="7" spans="1:1" ht="45" x14ac:dyDescent="0.25">
      <c r="A7" s="252" t="s">
        <v>398</v>
      </c>
    </row>
    <row r="8" spans="1:1" x14ac:dyDescent="0.25">
      <c r="A8" s="252"/>
    </row>
    <row r="9" spans="1:1" ht="30" x14ac:dyDescent="0.25">
      <c r="A9" s="252" t="s">
        <v>397</v>
      </c>
    </row>
    <row r="10" spans="1:1" x14ac:dyDescent="0.25">
      <c r="A10" s="252"/>
    </row>
    <row r="11" spans="1:1" ht="30" x14ac:dyDescent="0.25">
      <c r="A11" s="252" t="s">
        <v>396</v>
      </c>
    </row>
    <row r="12" spans="1:1" x14ac:dyDescent="0.25">
      <c r="A12" s="252"/>
    </row>
    <row r="13" spans="1:1" ht="30" x14ac:dyDescent="0.25">
      <c r="A13" s="252" t="s">
        <v>485</v>
      </c>
    </row>
    <row r="14" spans="1:1" x14ac:dyDescent="0.25">
      <c r="A14" s="252"/>
    </row>
    <row r="15" spans="1:1" ht="30" x14ac:dyDescent="0.25">
      <c r="A15" s="252" t="s">
        <v>395</v>
      </c>
    </row>
    <row r="16" spans="1:1" x14ac:dyDescent="0.25">
      <c r="A16" s="252"/>
    </row>
    <row r="17" spans="1:1" x14ac:dyDescent="0.25">
      <c r="A17" s="252" t="s">
        <v>486</v>
      </c>
    </row>
    <row r="18" spans="1:1" x14ac:dyDescent="0.25">
      <c r="A18" s="252"/>
    </row>
    <row r="19" spans="1:1" x14ac:dyDescent="0.25">
      <c r="A19" s="252" t="s">
        <v>394</v>
      </c>
    </row>
    <row r="20" spans="1:1" x14ac:dyDescent="0.25">
      <c r="A20" s="252"/>
    </row>
    <row r="21" spans="1:1" x14ac:dyDescent="0.25">
      <c r="A21" s="252" t="s">
        <v>393</v>
      </c>
    </row>
    <row r="22" spans="1:1" x14ac:dyDescent="0.25">
      <c r="A22" s="252"/>
    </row>
    <row r="23" spans="1:1" x14ac:dyDescent="0.25">
      <c r="A23" s="252" t="s">
        <v>392</v>
      </c>
    </row>
    <row r="24" spans="1:1" x14ac:dyDescent="0.25">
      <c r="A24" s="252"/>
    </row>
    <row r="25" spans="1:1" x14ac:dyDescent="0.25">
      <c r="A25" s="252" t="s">
        <v>402</v>
      </c>
    </row>
    <row r="26" spans="1:1" x14ac:dyDescent="0.25">
      <c r="A26" s="252"/>
    </row>
    <row r="27" spans="1:1" x14ac:dyDescent="0.25">
      <c r="A27" s="252" t="s">
        <v>391</v>
      </c>
    </row>
    <row r="28" spans="1:1" x14ac:dyDescent="0.25">
      <c r="A28" s="252"/>
    </row>
    <row r="29" spans="1:1" x14ac:dyDescent="0.25">
      <c r="A29" s="252" t="s">
        <v>390</v>
      </c>
    </row>
  </sheetData>
  <pageMargins left="0.7" right="0.7" top="0.75" bottom="0.75" header="0.3" footer="0.3"/>
  <pageSetup scale="78"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90"/>
  <sheetViews>
    <sheetView tabSelected="1" topLeftCell="A31" zoomScale="70" zoomScaleNormal="70" workbookViewId="0">
      <selection activeCell="A50" sqref="A50:N74"/>
    </sheetView>
  </sheetViews>
  <sheetFormatPr defaultColWidth="8.85546875" defaultRowHeight="15" x14ac:dyDescent="0.25"/>
  <cols>
    <col min="1" max="1" width="55.42578125" style="79" customWidth="1"/>
    <col min="2" max="2" width="16.85546875" style="79" customWidth="1"/>
    <col min="3" max="3" width="22.5703125" style="79" customWidth="1"/>
    <col min="4" max="4" width="22.7109375" style="79" customWidth="1"/>
    <col min="5" max="5" width="21.28515625" style="79" customWidth="1"/>
    <col min="6" max="6" width="20.140625" style="79" customWidth="1"/>
    <col min="7" max="13" width="14.85546875" style="79" customWidth="1"/>
    <col min="14" max="14" width="17.28515625" style="79" bestFit="1" customWidth="1"/>
    <col min="15" max="15" width="17.28515625" style="79" customWidth="1"/>
    <col min="16" max="16" width="45" style="79" customWidth="1"/>
    <col min="17" max="17" width="45.7109375" style="79" bestFit="1" customWidth="1"/>
    <col min="18" max="16384" width="8.85546875" style="79"/>
  </cols>
  <sheetData>
    <row r="1" spans="1:45" s="15" customFormat="1" ht="15.75" thickBot="1" x14ac:dyDescent="0.3">
      <c r="A1" s="68" t="s">
        <v>370</v>
      </c>
      <c r="B1" s="69">
        <v>2017</v>
      </c>
      <c r="C1" s="69">
        <v>2018</v>
      </c>
      <c r="D1" s="69" t="s">
        <v>280</v>
      </c>
      <c r="E1" s="70" t="s">
        <v>281</v>
      </c>
      <c r="F1" s="69" t="s">
        <v>282</v>
      </c>
      <c r="G1" s="70" t="s">
        <v>283</v>
      </c>
      <c r="H1" s="69" t="s">
        <v>284</v>
      </c>
      <c r="I1" s="70" t="s">
        <v>285</v>
      </c>
      <c r="J1" s="69" t="s">
        <v>286</v>
      </c>
      <c r="K1" s="70" t="s">
        <v>287</v>
      </c>
      <c r="L1" s="69" t="s">
        <v>288</v>
      </c>
      <c r="M1" s="71" t="s">
        <v>289</v>
      </c>
      <c r="N1" s="16"/>
      <c r="O1" s="16"/>
    </row>
    <row r="2" spans="1:45" s="16" customFormat="1" x14ac:dyDescent="0.25">
      <c r="A2" s="61" t="s">
        <v>290</v>
      </c>
      <c r="B2" s="233"/>
      <c r="C2" s="233"/>
      <c r="D2" s="233"/>
      <c r="E2" s="234"/>
      <c r="F2" s="235"/>
      <c r="G2" s="235"/>
      <c r="H2" s="235"/>
      <c r="I2" s="235"/>
      <c r="J2" s="235"/>
      <c r="K2" s="235"/>
      <c r="L2" s="235"/>
      <c r="M2" s="233"/>
    </row>
    <row r="3" spans="1:45" s="16" customFormat="1" x14ac:dyDescent="0.25">
      <c r="A3" s="74" t="s">
        <v>291</v>
      </c>
      <c r="B3" s="75"/>
      <c r="C3" s="75"/>
      <c r="D3" s="75"/>
      <c r="E3" s="75"/>
      <c r="F3" s="75"/>
      <c r="G3" s="75"/>
      <c r="H3" s="75"/>
      <c r="I3" s="75"/>
      <c r="J3" s="75"/>
      <c r="K3" s="75"/>
      <c r="L3" s="75"/>
      <c r="M3" s="76"/>
    </row>
    <row r="4" spans="1:45" s="16" customFormat="1" x14ac:dyDescent="0.25">
      <c r="A4" s="74" t="s">
        <v>292</v>
      </c>
      <c r="B4" s="77"/>
      <c r="C4" s="75"/>
      <c r="D4" s="75"/>
      <c r="E4" s="75"/>
      <c r="F4" s="75"/>
      <c r="G4" s="75"/>
      <c r="H4" s="75"/>
      <c r="I4" s="75"/>
      <c r="J4" s="75"/>
      <c r="K4" s="75"/>
      <c r="L4" s="75"/>
      <c r="M4" s="76"/>
      <c r="N4" s="78"/>
      <c r="O4" s="78"/>
    </row>
    <row r="5" spans="1:45" s="78" customFormat="1" x14ac:dyDescent="0.25">
      <c r="A5" s="74" t="s">
        <v>293</v>
      </c>
      <c r="B5" s="77"/>
      <c r="C5" s="75"/>
      <c r="D5" s="75"/>
      <c r="E5" s="75"/>
      <c r="F5" s="75"/>
      <c r="G5" s="75"/>
      <c r="H5" s="75"/>
      <c r="I5" s="75"/>
      <c r="J5" s="75"/>
      <c r="K5" s="75"/>
      <c r="L5" s="75"/>
      <c r="M5" s="76"/>
      <c r="N5" s="79"/>
      <c r="O5" s="79"/>
    </row>
    <row r="6" spans="1:45" x14ac:dyDescent="0.25">
      <c r="A6" s="74" t="s">
        <v>294</v>
      </c>
      <c r="B6" s="77"/>
      <c r="C6" s="75"/>
      <c r="D6" s="75"/>
      <c r="E6" s="75"/>
      <c r="F6" s="75"/>
      <c r="G6" s="75"/>
      <c r="H6" s="75"/>
      <c r="I6" s="75"/>
      <c r="J6" s="75"/>
      <c r="K6" s="75"/>
      <c r="L6" s="75"/>
      <c r="M6" s="76"/>
      <c r="N6" s="80"/>
      <c r="O6" s="80"/>
    </row>
    <row r="7" spans="1:45" s="81" customFormat="1" x14ac:dyDescent="0.25">
      <c r="A7" s="74" t="s">
        <v>295</v>
      </c>
      <c r="B7" s="77"/>
      <c r="C7" s="75"/>
      <c r="D7" s="75"/>
      <c r="E7" s="75"/>
      <c r="F7" s="75"/>
      <c r="G7" s="75"/>
      <c r="H7" s="75"/>
      <c r="I7" s="75"/>
      <c r="J7" s="75"/>
      <c r="K7" s="75"/>
      <c r="L7" s="75"/>
      <c r="M7" s="76"/>
      <c r="N7" s="80"/>
      <c r="O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row>
    <row r="8" spans="1:45" x14ac:dyDescent="0.25">
      <c r="A8" s="74" t="s">
        <v>296</v>
      </c>
      <c r="B8" s="77"/>
      <c r="C8" s="75"/>
      <c r="D8" s="75"/>
      <c r="E8" s="75"/>
      <c r="F8" s="75"/>
      <c r="G8" s="75"/>
      <c r="H8" s="75"/>
      <c r="I8" s="75"/>
      <c r="J8" s="75"/>
      <c r="K8" s="75"/>
      <c r="L8" s="75"/>
      <c r="M8" s="76"/>
      <c r="N8" s="80"/>
      <c r="O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row>
    <row r="9" spans="1:45" x14ac:dyDescent="0.25">
      <c r="A9" s="74" t="s">
        <v>297</v>
      </c>
      <c r="B9" s="75"/>
      <c r="C9" s="77"/>
      <c r="D9" s="75"/>
      <c r="E9" s="75"/>
      <c r="F9" s="75"/>
      <c r="G9" s="75"/>
      <c r="H9" s="75"/>
      <c r="I9" s="75"/>
      <c r="J9" s="75"/>
      <c r="K9" s="75"/>
      <c r="L9" s="75"/>
      <c r="M9" s="76"/>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row>
    <row r="10" spans="1:45" x14ac:dyDescent="0.25">
      <c r="A10" s="74" t="s">
        <v>298</v>
      </c>
      <c r="B10" s="75"/>
      <c r="C10" s="77"/>
      <c r="D10" s="75"/>
      <c r="E10" s="75"/>
      <c r="F10" s="75"/>
      <c r="G10" s="75"/>
      <c r="H10" s="75"/>
      <c r="I10" s="75"/>
      <c r="J10" s="75"/>
      <c r="K10" s="75"/>
      <c r="L10" s="75"/>
      <c r="M10" s="76"/>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row>
    <row r="11" spans="1:45" x14ac:dyDescent="0.25">
      <c r="A11" s="74" t="s">
        <v>299</v>
      </c>
      <c r="B11" s="75"/>
      <c r="C11" s="77"/>
      <c r="D11" s="75"/>
      <c r="E11" s="75"/>
      <c r="F11" s="75"/>
      <c r="G11" s="75"/>
      <c r="H11" s="75"/>
      <c r="I11" s="75"/>
      <c r="J11" s="75"/>
      <c r="K11" s="75"/>
      <c r="L11" s="75"/>
      <c r="M11" s="76"/>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row>
    <row r="12" spans="1:45" x14ac:dyDescent="0.25">
      <c r="A12" s="74" t="s">
        <v>300</v>
      </c>
      <c r="B12" s="75"/>
      <c r="C12" s="75"/>
      <c r="D12" s="82"/>
      <c r="E12" s="75"/>
      <c r="F12" s="75"/>
      <c r="G12" s="75"/>
      <c r="H12" s="75"/>
      <c r="I12" s="75"/>
      <c r="J12" s="75"/>
      <c r="K12" s="75"/>
      <c r="L12" s="75"/>
      <c r="M12" s="76"/>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row>
    <row r="13" spans="1:45" x14ac:dyDescent="0.25">
      <c r="A13" s="74" t="s">
        <v>301</v>
      </c>
      <c r="B13" s="75"/>
      <c r="C13" s="75"/>
      <c r="D13" s="82"/>
      <c r="E13" s="75"/>
      <c r="F13" s="75"/>
      <c r="G13" s="75"/>
      <c r="H13" s="75"/>
      <c r="I13" s="75"/>
      <c r="J13" s="75"/>
      <c r="K13" s="75"/>
      <c r="L13" s="75"/>
      <c r="M13" s="76"/>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row>
    <row r="14" spans="1:45" x14ac:dyDescent="0.25">
      <c r="A14" s="74" t="s">
        <v>302</v>
      </c>
      <c r="B14" s="75"/>
      <c r="C14" s="75"/>
      <c r="D14" s="82"/>
      <c r="E14" s="75"/>
      <c r="F14" s="75"/>
      <c r="G14" s="75"/>
      <c r="H14" s="75"/>
      <c r="I14" s="75"/>
      <c r="J14" s="75"/>
      <c r="K14" s="75"/>
      <c r="L14" s="75"/>
      <c r="M14" s="76"/>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row>
    <row r="15" spans="1:45" ht="15.75" thickBot="1" x14ac:dyDescent="0.3">
      <c r="A15" s="83" t="s">
        <v>368</v>
      </c>
      <c r="B15" s="84"/>
      <c r="C15" s="84"/>
      <c r="D15" s="232"/>
      <c r="E15" s="85" t="s">
        <v>369</v>
      </c>
      <c r="F15" s="86"/>
      <c r="G15" s="86"/>
      <c r="H15" s="86"/>
      <c r="I15" s="86"/>
      <c r="J15" s="86"/>
      <c r="K15" s="86"/>
      <c r="L15" s="86"/>
      <c r="M15" s="87"/>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row>
    <row r="16" spans="1:45" x14ac:dyDescent="0.25">
      <c r="A16" s="61" t="s">
        <v>304</v>
      </c>
      <c r="B16" s="235"/>
      <c r="C16" s="235"/>
      <c r="D16" s="235"/>
      <c r="E16" s="235"/>
      <c r="F16" s="235"/>
      <c r="G16" s="235"/>
      <c r="H16" s="235"/>
      <c r="I16" s="235"/>
      <c r="J16" s="235"/>
      <c r="K16" s="235"/>
      <c r="L16" s="235"/>
      <c r="M16" s="233"/>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row>
    <row r="17" spans="1:45" x14ac:dyDescent="0.25">
      <c r="A17" s="74" t="s">
        <v>298</v>
      </c>
      <c r="B17" s="75"/>
      <c r="C17" s="75"/>
      <c r="D17" s="75"/>
      <c r="E17" s="75"/>
      <c r="F17" s="75"/>
      <c r="G17" s="75"/>
      <c r="H17" s="75"/>
      <c r="I17" s="75"/>
      <c r="J17" s="75"/>
      <c r="K17" s="75"/>
      <c r="L17" s="75"/>
      <c r="M17" s="76"/>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row>
    <row r="18" spans="1:45" x14ac:dyDescent="0.25">
      <c r="A18" s="74" t="s">
        <v>299</v>
      </c>
      <c r="B18" s="75"/>
      <c r="C18" s="75"/>
      <c r="D18" s="75"/>
      <c r="E18" s="75"/>
      <c r="F18" s="75"/>
      <c r="G18" s="75"/>
      <c r="H18" s="75"/>
      <c r="I18" s="75"/>
      <c r="J18" s="75"/>
      <c r="K18" s="75"/>
      <c r="L18" s="75"/>
      <c r="M18" s="76"/>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row>
    <row r="19" spans="1:45" x14ac:dyDescent="0.25">
      <c r="A19" s="74" t="s">
        <v>300</v>
      </c>
      <c r="B19" s="82"/>
      <c r="C19" s="75"/>
      <c r="D19" s="75"/>
      <c r="E19" s="75"/>
      <c r="F19" s="75"/>
      <c r="G19" s="75"/>
      <c r="H19" s="75"/>
      <c r="I19" s="75"/>
      <c r="J19" s="75"/>
      <c r="K19" s="75"/>
      <c r="L19" s="75"/>
      <c r="M19" s="76"/>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row>
    <row r="20" spans="1:45" x14ac:dyDescent="0.25">
      <c r="A20" s="74" t="s">
        <v>301</v>
      </c>
      <c r="B20" s="82"/>
      <c r="C20" s="75"/>
      <c r="D20" s="75"/>
      <c r="E20" s="75"/>
      <c r="F20" s="75"/>
      <c r="G20" s="75"/>
      <c r="H20" s="75"/>
      <c r="I20" s="75"/>
      <c r="J20" s="75"/>
      <c r="K20" s="75"/>
      <c r="L20" s="75"/>
      <c r="M20" s="76"/>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row>
    <row r="21" spans="1:45" s="81" customFormat="1" x14ac:dyDescent="0.25">
      <c r="A21" s="74" t="s">
        <v>302</v>
      </c>
      <c r="B21" s="82"/>
      <c r="C21" s="75"/>
      <c r="D21" s="75"/>
      <c r="E21" s="75"/>
      <c r="F21" s="75"/>
      <c r="G21" s="75"/>
      <c r="H21" s="75"/>
      <c r="I21" s="75"/>
      <c r="J21" s="75"/>
      <c r="K21" s="75"/>
      <c r="L21" s="75"/>
      <c r="M21" s="76"/>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row>
    <row r="22" spans="1:45" ht="15.75" thickBot="1" x14ac:dyDescent="0.3">
      <c r="A22" s="83" t="s">
        <v>368</v>
      </c>
      <c r="B22" s="86"/>
      <c r="C22" s="86"/>
      <c r="D22" s="86"/>
      <c r="E22" s="85" t="s">
        <v>369</v>
      </c>
      <c r="F22" s="86"/>
      <c r="G22" s="86"/>
      <c r="H22" s="86"/>
      <c r="I22" s="86"/>
      <c r="J22" s="86"/>
      <c r="K22" s="86"/>
      <c r="L22" s="86"/>
      <c r="M22" s="87"/>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row>
    <row r="23" spans="1:45" x14ac:dyDescent="0.25">
      <c r="A23" s="61" t="s">
        <v>305</v>
      </c>
      <c r="B23" s="73"/>
      <c r="C23" s="73"/>
      <c r="D23" s="73"/>
      <c r="E23" s="73"/>
      <c r="F23" s="73"/>
      <c r="G23" s="73"/>
      <c r="H23" s="73"/>
      <c r="I23" s="73"/>
      <c r="J23" s="73"/>
      <c r="K23" s="73"/>
      <c r="L23" s="73"/>
      <c r="M23" s="72"/>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row>
    <row r="24" spans="1:45" x14ac:dyDescent="0.25">
      <c r="A24" s="74" t="s">
        <v>298</v>
      </c>
      <c r="B24" s="75"/>
      <c r="C24" s="75"/>
      <c r="D24" s="75"/>
      <c r="E24" s="75"/>
      <c r="F24" s="75"/>
      <c r="G24" s="75"/>
      <c r="H24" s="75"/>
      <c r="I24" s="75"/>
      <c r="J24" s="75"/>
      <c r="K24" s="75"/>
      <c r="L24" s="75"/>
      <c r="M24" s="76"/>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row>
    <row r="25" spans="1:45" x14ac:dyDescent="0.25">
      <c r="A25" s="74" t="s">
        <v>299</v>
      </c>
      <c r="B25" s="75"/>
      <c r="C25" s="75"/>
      <c r="D25" s="75"/>
      <c r="E25" s="75"/>
      <c r="F25" s="75"/>
      <c r="G25" s="75"/>
      <c r="H25" s="75"/>
      <c r="I25" s="75"/>
      <c r="J25" s="75"/>
      <c r="K25" s="75"/>
      <c r="L25" s="75"/>
      <c r="M25" s="76"/>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row>
    <row r="26" spans="1:45" x14ac:dyDescent="0.25">
      <c r="A26" s="74" t="s">
        <v>300</v>
      </c>
      <c r="B26" s="82"/>
      <c r="C26" s="75"/>
      <c r="D26" s="75"/>
      <c r="E26" s="75"/>
      <c r="F26" s="75"/>
      <c r="G26" s="75"/>
      <c r="H26" s="75"/>
      <c r="I26" s="75"/>
      <c r="J26" s="75"/>
      <c r="K26" s="75"/>
      <c r="L26" s="75"/>
      <c r="M26" s="76"/>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row>
    <row r="27" spans="1:45" x14ac:dyDescent="0.25">
      <c r="A27" s="74" t="s">
        <v>301</v>
      </c>
      <c r="B27" s="82"/>
      <c r="C27" s="75"/>
      <c r="D27" s="75"/>
      <c r="E27" s="75"/>
      <c r="F27" s="75"/>
      <c r="G27" s="75"/>
      <c r="H27" s="75"/>
      <c r="I27" s="75"/>
      <c r="J27" s="75"/>
      <c r="K27" s="75"/>
      <c r="L27" s="75"/>
      <c r="M27" s="76"/>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0"/>
      <c r="AQ27" s="80"/>
      <c r="AR27" s="80"/>
      <c r="AS27" s="80"/>
    </row>
    <row r="28" spans="1:45" s="81" customFormat="1" x14ac:dyDescent="0.25">
      <c r="A28" s="74" t="s">
        <v>302</v>
      </c>
      <c r="B28" s="82"/>
      <c r="C28" s="75"/>
      <c r="D28" s="75"/>
      <c r="E28" s="75"/>
      <c r="F28" s="75"/>
      <c r="G28" s="75"/>
      <c r="H28" s="75"/>
      <c r="I28" s="75"/>
      <c r="J28" s="75"/>
      <c r="K28" s="75"/>
      <c r="L28" s="75"/>
      <c r="M28" s="76"/>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0"/>
      <c r="AR28" s="80"/>
      <c r="AS28" s="80"/>
    </row>
    <row r="29" spans="1:45" ht="15.75" thickBot="1" x14ac:dyDescent="0.3">
      <c r="A29" s="83" t="s">
        <v>368</v>
      </c>
      <c r="B29" s="86"/>
      <c r="C29" s="86"/>
      <c r="D29" s="86"/>
      <c r="E29" s="85" t="s">
        <v>369</v>
      </c>
      <c r="F29" s="86"/>
      <c r="G29" s="86"/>
      <c r="H29" s="86"/>
      <c r="I29" s="86"/>
      <c r="J29" s="86"/>
      <c r="K29" s="86"/>
      <c r="L29" s="86"/>
      <c r="M29" s="87"/>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row>
    <row r="30" spans="1:45" x14ac:dyDescent="0.25">
      <c r="A30" s="61" t="s">
        <v>306</v>
      </c>
      <c r="B30" s="235"/>
      <c r="C30" s="235"/>
      <c r="D30" s="235"/>
      <c r="E30" s="235"/>
      <c r="F30" s="235"/>
      <c r="G30" s="235"/>
      <c r="H30" s="235"/>
      <c r="I30" s="235"/>
      <c r="J30" s="235"/>
      <c r="K30" s="235"/>
      <c r="L30" s="235"/>
      <c r="M30" s="233"/>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row>
    <row r="31" spans="1:45" x14ac:dyDescent="0.25">
      <c r="A31" s="74" t="s">
        <v>293</v>
      </c>
      <c r="B31" s="77"/>
      <c r="C31" s="75"/>
      <c r="D31" s="75"/>
      <c r="E31" s="75"/>
      <c r="F31" s="75"/>
      <c r="G31" s="75"/>
      <c r="H31" s="75"/>
      <c r="I31" s="75"/>
      <c r="J31" s="75"/>
      <c r="K31" s="75"/>
      <c r="L31" s="75"/>
      <c r="M31" s="76"/>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row>
    <row r="32" spans="1:45" x14ac:dyDescent="0.25">
      <c r="A32" s="74" t="s">
        <v>295</v>
      </c>
      <c r="B32" s="77"/>
      <c r="C32" s="75"/>
      <c r="D32" s="75"/>
      <c r="E32" s="75"/>
      <c r="F32" s="75"/>
      <c r="G32" s="75"/>
      <c r="H32" s="75"/>
      <c r="I32" s="75"/>
      <c r="J32" s="75"/>
      <c r="K32" s="75"/>
      <c r="L32" s="75"/>
      <c r="M32" s="76"/>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row>
    <row r="33" spans="1:45" x14ac:dyDescent="0.25">
      <c r="A33" s="74" t="s">
        <v>296</v>
      </c>
      <c r="B33" s="77"/>
      <c r="C33" s="75"/>
      <c r="D33" s="75"/>
      <c r="E33" s="75"/>
      <c r="F33" s="75"/>
      <c r="G33" s="75"/>
      <c r="H33" s="75"/>
      <c r="I33" s="75"/>
      <c r="J33" s="75"/>
      <c r="K33" s="75"/>
      <c r="L33" s="75"/>
      <c r="M33" s="76"/>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row>
    <row r="34" spans="1:45" x14ac:dyDescent="0.25">
      <c r="A34" s="74" t="s">
        <v>297</v>
      </c>
      <c r="B34" s="75"/>
      <c r="C34" s="77"/>
      <c r="D34" s="75"/>
      <c r="E34" s="75"/>
      <c r="F34" s="75"/>
      <c r="G34" s="75"/>
      <c r="H34" s="75"/>
      <c r="I34" s="75"/>
      <c r="J34" s="75"/>
      <c r="K34" s="75"/>
      <c r="L34" s="75"/>
      <c r="M34" s="76"/>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row>
    <row r="35" spans="1:45" s="81" customFormat="1" x14ac:dyDescent="0.25">
      <c r="A35" s="74" t="s">
        <v>298</v>
      </c>
      <c r="B35" s="75"/>
      <c r="C35" s="77"/>
      <c r="D35" s="75"/>
      <c r="E35" s="75"/>
      <c r="F35" s="75"/>
      <c r="G35" s="75"/>
      <c r="H35" s="75"/>
      <c r="I35" s="75"/>
      <c r="J35" s="75"/>
      <c r="K35" s="75"/>
      <c r="L35" s="75"/>
      <c r="M35" s="76"/>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row>
    <row r="36" spans="1:45" x14ac:dyDescent="0.25">
      <c r="A36" s="74" t="s">
        <v>299</v>
      </c>
      <c r="B36" s="75"/>
      <c r="C36" s="77"/>
      <c r="D36" s="75"/>
      <c r="E36" s="75"/>
      <c r="F36" s="75"/>
      <c r="G36" s="75"/>
      <c r="H36" s="75"/>
      <c r="I36" s="75"/>
      <c r="J36" s="75"/>
      <c r="K36" s="75"/>
      <c r="L36" s="75"/>
      <c r="M36" s="76"/>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row>
    <row r="37" spans="1:45" x14ac:dyDescent="0.25">
      <c r="A37" s="74" t="s">
        <v>300</v>
      </c>
      <c r="B37" s="75"/>
      <c r="C37" s="75"/>
      <c r="D37" s="82"/>
      <c r="E37" s="75"/>
      <c r="F37" s="75"/>
      <c r="G37" s="75"/>
      <c r="H37" s="75"/>
      <c r="I37" s="75"/>
      <c r="J37" s="75"/>
      <c r="K37" s="75"/>
      <c r="L37" s="75"/>
      <c r="M37" s="76"/>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c r="AR37" s="80"/>
      <c r="AS37" s="80"/>
    </row>
    <row r="38" spans="1:45" x14ac:dyDescent="0.25">
      <c r="A38" s="74" t="s">
        <v>301</v>
      </c>
      <c r="B38" s="75"/>
      <c r="C38" s="75"/>
      <c r="D38" s="82"/>
      <c r="E38" s="75"/>
      <c r="F38" s="75"/>
      <c r="G38" s="75"/>
      <c r="H38" s="75"/>
      <c r="I38" s="75"/>
      <c r="J38" s="75"/>
      <c r="K38" s="75"/>
      <c r="L38" s="75"/>
      <c r="M38" s="76"/>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c r="AQ38" s="80"/>
      <c r="AR38" s="80"/>
      <c r="AS38" s="80"/>
    </row>
    <row r="39" spans="1:45" x14ac:dyDescent="0.25">
      <c r="A39" s="74" t="s">
        <v>302</v>
      </c>
      <c r="B39" s="75"/>
      <c r="C39" s="75"/>
      <c r="D39" s="82"/>
      <c r="E39" s="75"/>
      <c r="F39" s="75"/>
      <c r="G39" s="75"/>
      <c r="H39" s="75"/>
      <c r="I39" s="75"/>
      <c r="J39" s="75"/>
      <c r="K39" s="75"/>
      <c r="L39" s="75"/>
      <c r="M39" s="76"/>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0"/>
      <c r="AS39" s="80"/>
    </row>
    <row r="40" spans="1:45" ht="15.75" thickBot="1" x14ac:dyDescent="0.3">
      <c r="A40" s="83" t="s">
        <v>368</v>
      </c>
      <c r="B40" s="86"/>
      <c r="C40" s="86"/>
      <c r="D40" s="86"/>
      <c r="E40" s="85" t="s">
        <v>369</v>
      </c>
      <c r="F40" s="86"/>
      <c r="G40" s="86"/>
      <c r="H40" s="86"/>
      <c r="I40" s="86"/>
      <c r="J40" s="86"/>
      <c r="K40" s="86"/>
      <c r="L40" s="86"/>
      <c r="M40" s="87"/>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0"/>
    </row>
    <row r="41" spans="1:45" x14ac:dyDescent="0.25">
      <c r="A41" s="61" t="s">
        <v>307</v>
      </c>
      <c r="B41" s="235"/>
      <c r="C41" s="235"/>
      <c r="D41" s="235"/>
      <c r="E41" s="235"/>
      <c r="F41" s="235"/>
      <c r="G41" s="235"/>
      <c r="H41" s="235"/>
      <c r="I41" s="235"/>
      <c r="J41" s="235"/>
      <c r="K41" s="235"/>
      <c r="L41" s="235"/>
      <c r="M41" s="233"/>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c r="AP41" s="80"/>
      <c r="AQ41" s="80"/>
      <c r="AR41" s="80"/>
    </row>
    <row r="42" spans="1:45" x14ac:dyDescent="0.25">
      <c r="A42" s="74" t="s">
        <v>298</v>
      </c>
      <c r="B42" s="75"/>
      <c r="C42" s="75"/>
      <c r="D42" s="75"/>
      <c r="E42" s="75"/>
      <c r="F42" s="75"/>
      <c r="G42" s="75"/>
      <c r="H42" s="75"/>
      <c r="I42" s="75"/>
      <c r="J42" s="75"/>
      <c r="K42" s="75"/>
      <c r="L42" s="75"/>
      <c r="M42" s="76"/>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c r="AR42" s="80"/>
    </row>
    <row r="43" spans="1:45" x14ac:dyDescent="0.25">
      <c r="A43" s="74" t="s">
        <v>299</v>
      </c>
      <c r="B43" s="77"/>
      <c r="C43" s="75"/>
      <c r="D43" s="75"/>
      <c r="E43" s="75"/>
      <c r="F43" s="75"/>
      <c r="G43" s="75"/>
      <c r="H43" s="75"/>
      <c r="I43" s="75"/>
      <c r="J43" s="75"/>
      <c r="K43" s="75"/>
      <c r="L43" s="75"/>
      <c r="M43" s="76"/>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c r="AR43" s="80"/>
    </row>
    <row r="44" spans="1:45" x14ac:dyDescent="0.25">
      <c r="A44" s="74" t="s">
        <v>300</v>
      </c>
      <c r="B44" s="82"/>
      <c r="C44" s="75"/>
      <c r="D44" s="75"/>
      <c r="E44" s="75"/>
      <c r="F44" s="75"/>
      <c r="G44" s="75"/>
      <c r="H44" s="75"/>
      <c r="I44" s="75"/>
      <c r="J44" s="75"/>
      <c r="K44" s="75"/>
      <c r="L44" s="75"/>
      <c r="M44" s="76"/>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row>
    <row r="45" spans="1:45" x14ac:dyDescent="0.25">
      <c r="A45" s="74" t="s">
        <v>301</v>
      </c>
      <c r="B45" s="82"/>
      <c r="C45" s="75"/>
      <c r="D45" s="75"/>
      <c r="E45" s="75"/>
      <c r="F45" s="75"/>
      <c r="G45" s="75"/>
      <c r="H45" s="75"/>
      <c r="I45" s="75"/>
      <c r="J45" s="75"/>
      <c r="K45" s="75"/>
      <c r="L45" s="75"/>
      <c r="M45" s="76"/>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row>
    <row r="46" spans="1:45" s="81" customFormat="1" x14ac:dyDescent="0.25">
      <c r="A46" s="74" t="s">
        <v>302</v>
      </c>
      <c r="B46" s="82"/>
      <c r="C46" s="75"/>
      <c r="D46" s="75"/>
      <c r="E46" s="75"/>
      <c r="F46" s="75"/>
      <c r="G46" s="75"/>
      <c r="H46" s="75"/>
      <c r="I46" s="75"/>
      <c r="J46" s="75"/>
      <c r="K46" s="75"/>
      <c r="L46" s="75"/>
      <c r="M46" s="76"/>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c r="AQ46" s="80"/>
      <c r="AR46" s="80"/>
    </row>
    <row r="47" spans="1:45" ht="15.75" thickBot="1" x14ac:dyDescent="0.3">
      <c r="A47" s="83" t="s">
        <v>368</v>
      </c>
      <c r="B47" s="86"/>
      <c r="C47" s="86"/>
      <c r="D47" s="86"/>
      <c r="E47" s="85" t="s">
        <v>369</v>
      </c>
      <c r="F47" s="86"/>
      <c r="G47" s="86"/>
      <c r="H47" s="86"/>
      <c r="I47" s="86"/>
      <c r="J47" s="86"/>
      <c r="K47" s="86"/>
      <c r="L47" s="86"/>
      <c r="M47" s="87"/>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0"/>
      <c r="AP47" s="80"/>
      <c r="AQ47" s="80"/>
      <c r="AR47" s="80"/>
    </row>
    <row r="48" spans="1:45" ht="15.75" thickBot="1" x14ac:dyDescent="0.3">
      <c r="A48" s="88" t="s">
        <v>386</v>
      </c>
      <c r="B48" s="89"/>
      <c r="C48" s="89"/>
      <c r="D48" s="90"/>
      <c r="E48" s="90"/>
      <c r="F48" s="89"/>
      <c r="G48" s="89"/>
      <c r="H48" s="89"/>
      <c r="I48" s="89"/>
      <c r="J48" s="89"/>
      <c r="K48" s="89"/>
      <c r="L48" s="89"/>
      <c r="M48" s="91"/>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c r="AQ48" s="80"/>
      <c r="AR48" s="80"/>
    </row>
    <row r="49" spans="1:45" ht="15.75" thickBot="1" x14ac:dyDescent="0.3">
      <c r="A49" s="92"/>
      <c r="B49" s="93"/>
      <c r="C49" s="93"/>
      <c r="D49" s="93"/>
      <c r="E49" s="93"/>
      <c r="F49" s="93"/>
      <c r="G49" s="93"/>
      <c r="H49" s="93"/>
      <c r="I49" s="93"/>
      <c r="J49" s="93"/>
      <c r="K49" s="93"/>
      <c r="L49" s="93"/>
      <c r="M49" s="93"/>
      <c r="O49" s="80"/>
      <c r="P49" s="93"/>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c r="AR49" s="80"/>
    </row>
    <row r="50" spans="1:45" ht="15.75" thickBot="1" x14ac:dyDescent="0.3">
      <c r="A50" s="223" t="s">
        <v>371</v>
      </c>
      <c r="B50" s="222">
        <v>2017</v>
      </c>
      <c r="C50" s="220">
        <v>2018</v>
      </c>
      <c r="D50" s="220" t="s">
        <v>280</v>
      </c>
      <c r="E50" s="220" t="s">
        <v>281</v>
      </c>
      <c r="F50" s="220" t="s">
        <v>282</v>
      </c>
      <c r="G50" s="220" t="s">
        <v>283</v>
      </c>
      <c r="H50" s="220" t="s">
        <v>284</v>
      </c>
      <c r="I50" s="220" t="s">
        <v>285</v>
      </c>
      <c r="J50" s="220" t="s">
        <v>286</v>
      </c>
      <c r="K50" s="220" t="s">
        <v>287</v>
      </c>
      <c r="L50" s="220" t="s">
        <v>288</v>
      </c>
      <c r="M50" s="221" t="s">
        <v>446</v>
      </c>
      <c r="N50" s="94" t="s">
        <v>309</v>
      </c>
      <c r="P50" s="110"/>
      <c r="Q50" s="95"/>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row>
    <row r="51" spans="1:45" ht="15.75" thickBot="1" x14ac:dyDescent="0.3">
      <c r="A51" s="96" t="s">
        <v>380</v>
      </c>
      <c r="B51" s="97"/>
      <c r="C51" s="98">
        <f>+'Reg. Reimburs Costs'!P4/2</f>
        <v>362023.22884615383</v>
      </c>
      <c r="D51" s="98">
        <f>+'Reg. Reimburs Costs'!P4/2</f>
        <v>362023.22884615383</v>
      </c>
      <c r="E51" s="99"/>
      <c r="F51" s="100"/>
      <c r="G51" s="100"/>
      <c r="H51" s="100"/>
      <c r="I51" s="100"/>
      <c r="J51" s="100"/>
      <c r="K51" s="100"/>
      <c r="L51" s="100"/>
      <c r="M51" s="101"/>
      <c r="N51" s="102">
        <f>SUM(B51:M51)</f>
        <v>724046.45769230765</v>
      </c>
      <c r="P51" s="110"/>
      <c r="Q51" s="103"/>
      <c r="R51" s="93"/>
      <c r="S51" s="93"/>
      <c r="T51" s="93"/>
      <c r="U51" s="93"/>
      <c r="V51" s="93"/>
      <c r="W51" s="93"/>
      <c r="X51" s="93"/>
      <c r="Y51" s="93"/>
      <c r="Z51" s="93"/>
      <c r="AA51" s="93"/>
      <c r="AB51" s="93"/>
      <c r="AC51" s="93"/>
      <c r="AD51" s="93"/>
      <c r="AE51" s="93"/>
      <c r="AF51" s="93"/>
      <c r="AG51" s="93"/>
      <c r="AH51" s="93"/>
      <c r="AI51" s="93"/>
      <c r="AJ51" s="93"/>
      <c r="AK51" s="93"/>
      <c r="AL51" s="80"/>
      <c r="AM51" s="80"/>
      <c r="AN51" s="80"/>
      <c r="AO51" s="80"/>
      <c r="AP51" s="80"/>
      <c r="AQ51" s="80"/>
      <c r="AR51" s="80"/>
      <c r="AS51" s="80"/>
    </row>
    <row r="52" spans="1:45" ht="15.75" thickBot="1" x14ac:dyDescent="0.3">
      <c r="A52" s="497" t="s">
        <v>372</v>
      </c>
      <c r="B52" s="494">
        <f>B51*(1.02)^0</f>
        <v>0</v>
      </c>
      <c r="C52" s="494">
        <f>C51*(1.02)^1</f>
        <v>369263.69342307688</v>
      </c>
      <c r="D52" s="494">
        <f>D51*(1.02)^2</f>
        <v>376648.96729153843</v>
      </c>
      <c r="E52" s="494">
        <f>E51*(1.02)^3</f>
        <v>0</v>
      </c>
      <c r="F52" s="494">
        <f>F51*(1.02)^4</f>
        <v>0</v>
      </c>
      <c r="G52" s="494">
        <f>G51*(1.02)^5</f>
        <v>0</v>
      </c>
      <c r="H52" s="494">
        <f>H51*(1.02)^6</f>
        <v>0</v>
      </c>
      <c r="I52" s="494">
        <f>I51*(1.02)^7</f>
        <v>0</v>
      </c>
      <c r="J52" s="494">
        <f>J51*(1.02)^8</f>
        <v>0</v>
      </c>
      <c r="K52" s="494">
        <f>K51*(1.02)^9</f>
        <v>0</v>
      </c>
      <c r="L52" s="494">
        <f>L51*(1.02)^10</f>
        <v>0</v>
      </c>
      <c r="M52" s="495">
        <f>M51*(1.02)^11</f>
        <v>0</v>
      </c>
      <c r="N52" s="499">
        <f>SUM(B52:M52)</f>
        <v>745912.66071461537</v>
      </c>
      <c r="O52" s="79" t="s">
        <v>456</v>
      </c>
      <c r="Q52" s="110"/>
      <c r="R52" s="110"/>
      <c r="S52" s="110"/>
      <c r="T52" s="110"/>
      <c r="U52" s="110"/>
      <c r="V52" s="110"/>
      <c r="W52" s="110"/>
      <c r="X52" s="110"/>
      <c r="Y52" s="110"/>
      <c r="Z52" s="110"/>
      <c r="AA52" s="110"/>
      <c r="AB52" s="110"/>
      <c r="AC52" s="110"/>
      <c r="AD52" s="110"/>
      <c r="AE52" s="110"/>
      <c r="AF52" s="110"/>
      <c r="AG52" s="110"/>
      <c r="AH52" s="110"/>
      <c r="AI52" s="110"/>
      <c r="AJ52" s="110"/>
      <c r="AK52" s="110"/>
    </row>
    <row r="53" spans="1:45" ht="15.75" thickBot="1" x14ac:dyDescent="0.3">
      <c r="A53" s="104" t="s">
        <v>389</v>
      </c>
      <c r="B53" s="105">
        <f>'FORA Admin Costs updated'!$I$57</f>
        <v>388058.97265348223</v>
      </c>
      <c r="C53" s="62">
        <f>'FORA Admin Costs updated'!$U$57</f>
        <v>525411.96353797626</v>
      </c>
      <c r="D53" s="62">
        <f>'FORA Admin Costs updated'!$AG$57</f>
        <v>649575.01353797619</v>
      </c>
      <c r="E53" s="62">
        <f>'FORA Admin Costs updated'!$AM$57</f>
        <v>250705.98176898816</v>
      </c>
      <c r="F53" s="106"/>
      <c r="G53" s="106"/>
      <c r="H53" s="106"/>
      <c r="I53" s="106"/>
      <c r="J53" s="106"/>
      <c r="K53" s="106"/>
      <c r="L53" s="106"/>
      <c r="M53" s="107"/>
      <c r="N53" s="108">
        <f>SUM(B53:M53)</f>
        <v>1813751.9314984228</v>
      </c>
      <c r="Q53" s="103"/>
      <c r="R53" s="93"/>
      <c r="S53" s="93"/>
      <c r="T53" s="93"/>
      <c r="U53" s="93"/>
      <c r="V53" s="93"/>
      <c r="W53" s="93"/>
      <c r="X53" s="93"/>
      <c r="Y53" s="93"/>
      <c r="Z53" s="93"/>
      <c r="AA53" s="93"/>
      <c r="AB53" s="93"/>
      <c r="AC53" s="93"/>
      <c r="AD53" s="93"/>
      <c r="AE53" s="93"/>
      <c r="AF53" s="93"/>
      <c r="AG53" s="93"/>
      <c r="AH53" s="93"/>
      <c r="AI53" s="93"/>
      <c r="AJ53" s="93"/>
      <c r="AK53" s="93"/>
      <c r="AL53" s="80"/>
      <c r="AM53" s="80"/>
      <c r="AN53" s="80"/>
      <c r="AO53" s="80"/>
      <c r="AP53" s="80"/>
      <c r="AQ53" s="80"/>
      <c r="AR53" s="80"/>
      <c r="AS53" s="80"/>
    </row>
    <row r="54" spans="1:45" ht="15.75" thickBot="1" x14ac:dyDescent="0.3">
      <c r="A54" s="497" t="s">
        <v>372</v>
      </c>
      <c r="B54" s="494">
        <f>B53*(1.02)^0</f>
        <v>388058.97265348223</v>
      </c>
      <c r="C54" s="494">
        <f>C53*(1.02)^1</f>
        <v>535920.20280873578</v>
      </c>
      <c r="D54" s="494">
        <f>D53*(1.02)^2</f>
        <v>675817.84408491047</v>
      </c>
      <c r="E54" s="494">
        <f>E53*(1.02)^3</f>
        <v>266051.19350110437</v>
      </c>
      <c r="F54" s="494">
        <f>F53*(1.02)^4</f>
        <v>0</v>
      </c>
      <c r="G54" s="494">
        <f>G53*(1.02)^5</f>
        <v>0</v>
      </c>
      <c r="H54" s="494">
        <f>H53*(1.02)^6</f>
        <v>0</v>
      </c>
      <c r="I54" s="494">
        <f>I53*(1.02)^7</f>
        <v>0</v>
      </c>
      <c r="J54" s="494">
        <f>J53*(1.02)^8</f>
        <v>0</v>
      </c>
      <c r="K54" s="494">
        <f>K53*(1.02)^9</f>
        <v>0</v>
      </c>
      <c r="L54" s="494">
        <f>L53*(1.02)^10</f>
        <v>0</v>
      </c>
      <c r="M54" s="495">
        <f>M53*(1.02)^11</f>
        <v>0</v>
      </c>
      <c r="N54" s="498">
        <f>SUM(B54:M54)</f>
        <v>1865848.213048233</v>
      </c>
      <c r="Q54" s="110"/>
      <c r="R54" s="110"/>
      <c r="S54" s="110"/>
      <c r="T54" s="110"/>
      <c r="U54" s="110"/>
      <c r="V54" s="110"/>
      <c r="W54" s="110"/>
      <c r="X54" s="110"/>
      <c r="Y54" s="110"/>
      <c r="Z54" s="110"/>
      <c r="AA54" s="110"/>
      <c r="AB54" s="110"/>
      <c r="AC54" s="110"/>
      <c r="AD54" s="110"/>
      <c r="AE54" s="110"/>
      <c r="AF54" s="110"/>
      <c r="AG54" s="110"/>
      <c r="AH54" s="110"/>
      <c r="AI54" s="110"/>
      <c r="AJ54" s="110"/>
      <c r="AK54" s="110"/>
    </row>
    <row r="55" spans="1:45" s="80" customFormat="1" x14ac:dyDescent="0.25">
      <c r="A55" s="283" t="s">
        <v>460</v>
      </c>
      <c r="B55" s="284"/>
      <c r="C55" s="285"/>
      <c r="D55" s="285"/>
      <c r="E55" s="285"/>
      <c r="F55" s="285"/>
      <c r="G55" s="285"/>
      <c r="H55" s="285"/>
      <c r="I55" s="285"/>
      <c r="J55" s="285"/>
      <c r="K55" s="285"/>
      <c r="L55" s="285"/>
      <c r="M55" s="286"/>
      <c r="N55" s="287"/>
      <c r="Q55" s="288"/>
      <c r="R55" s="93"/>
      <c r="S55" s="93"/>
      <c r="T55" s="93"/>
      <c r="U55" s="93"/>
      <c r="V55" s="93"/>
      <c r="W55" s="93"/>
      <c r="X55" s="93"/>
      <c r="Y55" s="93"/>
      <c r="Z55" s="93"/>
      <c r="AA55" s="93"/>
      <c r="AB55" s="93"/>
      <c r="AC55" s="93"/>
      <c r="AD55" s="93"/>
      <c r="AE55" s="93"/>
      <c r="AF55" s="93"/>
      <c r="AG55" s="93"/>
      <c r="AH55" s="93"/>
      <c r="AI55" s="93"/>
      <c r="AJ55" s="93"/>
      <c r="AK55" s="93"/>
    </row>
    <row r="56" spans="1:45" x14ac:dyDescent="0.25">
      <c r="A56" s="325" t="s">
        <v>462</v>
      </c>
      <c r="B56" s="326"/>
      <c r="C56" s="327"/>
      <c r="D56" s="327"/>
      <c r="E56" s="327">
        <f>+$N$56/16</f>
        <v>18112.221968750004</v>
      </c>
      <c r="F56" s="327">
        <f t="shared" ref="F56:L56" si="0">+$N$56/8</f>
        <v>36224.443937500007</v>
      </c>
      <c r="G56" s="327">
        <f t="shared" si="0"/>
        <v>36224.443937500007</v>
      </c>
      <c r="H56" s="327">
        <f t="shared" si="0"/>
        <v>36224.443937500007</v>
      </c>
      <c r="I56" s="327">
        <f t="shared" si="0"/>
        <v>36224.443937500007</v>
      </c>
      <c r="J56" s="327">
        <f t="shared" si="0"/>
        <v>36224.443937500007</v>
      </c>
      <c r="K56" s="327">
        <f t="shared" si="0"/>
        <v>36224.443937500007</v>
      </c>
      <c r="L56" s="327">
        <f t="shared" si="0"/>
        <v>36224.443937500007</v>
      </c>
      <c r="M56" s="327">
        <f>+E56</f>
        <v>18112.221968750004</v>
      </c>
      <c r="N56" s="328">
        <f>+'Post-Closure MEC Find Assesment'!K38</f>
        <v>289795.55150000006</v>
      </c>
      <c r="Q56" s="66"/>
      <c r="R56" s="93"/>
      <c r="S56" s="93"/>
      <c r="T56" s="93"/>
      <c r="U56" s="93"/>
      <c r="V56" s="93"/>
      <c r="W56" s="93"/>
      <c r="X56" s="93"/>
      <c r="Y56" s="93"/>
      <c r="Z56" s="93"/>
      <c r="AA56" s="93"/>
      <c r="AB56" s="93"/>
      <c r="AC56" s="93"/>
      <c r="AD56" s="93"/>
      <c r="AE56" s="93"/>
      <c r="AF56" s="93"/>
      <c r="AG56" s="93"/>
      <c r="AH56" s="93"/>
      <c r="AI56" s="93"/>
      <c r="AJ56" s="93"/>
      <c r="AK56" s="93"/>
      <c r="AL56" s="80"/>
      <c r="AM56" s="80"/>
      <c r="AN56" s="80"/>
      <c r="AO56" s="80"/>
      <c r="AP56" s="80"/>
      <c r="AQ56" s="80"/>
      <c r="AR56" s="80"/>
      <c r="AS56" s="80"/>
    </row>
    <row r="57" spans="1:45" ht="15.75" thickBot="1" x14ac:dyDescent="0.3">
      <c r="A57" s="345" t="s">
        <v>474</v>
      </c>
      <c r="B57" s="346"/>
      <c r="C57" s="347"/>
      <c r="D57" s="347"/>
      <c r="E57" s="347">
        <f t="shared" ref="E57" si="1">N57/16</f>
        <v>10620.712499999998</v>
      </c>
      <c r="F57" s="347">
        <f>($N$57/16)*2</f>
        <v>21241.424999999996</v>
      </c>
      <c r="G57" s="347">
        <f t="shared" ref="G57:L57" si="2">($N$57/16)*2</f>
        <v>21241.424999999996</v>
      </c>
      <c r="H57" s="347">
        <f t="shared" si="2"/>
        <v>21241.424999999996</v>
      </c>
      <c r="I57" s="347">
        <f t="shared" si="2"/>
        <v>21241.424999999996</v>
      </c>
      <c r="J57" s="347">
        <f t="shared" si="2"/>
        <v>21241.424999999996</v>
      </c>
      <c r="K57" s="347">
        <f t="shared" si="2"/>
        <v>21241.424999999996</v>
      </c>
      <c r="L57" s="347">
        <f t="shared" si="2"/>
        <v>21241.424999999996</v>
      </c>
      <c r="M57" s="347">
        <f>($N$57/16)*1</f>
        <v>10620.712499999998</v>
      </c>
      <c r="N57" s="348">
        <f>+'Post-Closure MEC Find Assesment'!M38</f>
        <v>169931.39999999997</v>
      </c>
      <c r="Q57" s="66"/>
      <c r="R57" s="93"/>
      <c r="S57" s="93"/>
      <c r="T57" s="93"/>
      <c r="U57" s="93"/>
      <c r="V57" s="93"/>
      <c r="W57" s="93"/>
      <c r="X57" s="93"/>
      <c r="Y57" s="93"/>
      <c r="Z57" s="93"/>
      <c r="AA57" s="93"/>
      <c r="AB57" s="93"/>
      <c r="AC57" s="93"/>
      <c r="AD57" s="93"/>
      <c r="AE57" s="93"/>
      <c r="AF57" s="93"/>
      <c r="AG57" s="93"/>
      <c r="AH57" s="93"/>
      <c r="AI57" s="93"/>
      <c r="AJ57" s="93"/>
      <c r="AK57" s="93"/>
      <c r="AL57" s="80"/>
      <c r="AM57" s="80"/>
      <c r="AN57" s="80"/>
      <c r="AO57" s="80"/>
      <c r="AP57" s="80"/>
      <c r="AQ57" s="80"/>
      <c r="AR57" s="80"/>
      <c r="AS57" s="80"/>
    </row>
    <row r="58" spans="1:45" s="482" customFormat="1" ht="15.75" thickBot="1" x14ac:dyDescent="0.3">
      <c r="A58" s="481" t="s">
        <v>483</v>
      </c>
      <c r="B58" s="111">
        <f>SUBTOTAL(9,B56:B57)</f>
        <v>0</v>
      </c>
      <c r="C58" s="111">
        <f t="shared" ref="C58:N58" si="3">SUBTOTAL(9,C56:C57)</f>
        <v>0</v>
      </c>
      <c r="D58" s="111">
        <f t="shared" si="3"/>
        <v>0</v>
      </c>
      <c r="E58" s="111">
        <f t="shared" si="3"/>
        <v>28732.934468750002</v>
      </c>
      <c r="F58" s="111">
        <f t="shared" si="3"/>
        <v>57465.868937500003</v>
      </c>
      <c r="G58" s="111">
        <f t="shared" si="3"/>
        <v>57465.868937500003</v>
      </c>
      <c r="H58" s="111">
        <f t="shared" si="3"/>
        <v>57465.868937500003</v>
      </c>
      <c r="I58" s="111">
        <f t="shared" si="3"/>
        <v>57465.868937500003</v>
      </c>
      <c r="J58" s="111">
        <f t="shared" si="3"/>
        <v>57465.868937500003</v>
      </c>
      <c r="K58" s="111">
        <f t="shared" si="3"/>
        <v>57465.868937500003</v>
      </c>
      <c r="L58" s="111">
        <f t="shared" si="3"/>
        <v>57465.868937500003</v>
      </c>
      <c r="M58" s="112">
        <f t="shared" si="3"/>
        <v>28732.934468750002</v>
      </c>
      <c r="N58" s="287">
        <f t="shared" si="3"/>
        <v>459726.95150000002</v>
      </c>
      <c r="Q58" s="483"/>
      <c r="R58" s="484"/>
      <c r="S58" s="484"/>
      <c r="T58" s="484"/>
      <c r="U58" s="484"/>
      <c r="V58" s="484"/>
      <c r="W58" s="484"/>
      <c r="X58" s="484"/>
      <c r="Y58" s="484"/>
      <c r="Z58" s="484"/>
      <c r="AA58" s="484"/>
      <c r="AB58" s="484"/>
      <c r="AC58" s="484"/>
      <c r="AD58" s="484"/>
      <c r="AE58" s="484"/>
      <c r="AF58" s="484"/>
      <c r="AG58" s="484"/>
      <c r="AH58" s="484"/>
      <c r="AI58" s="484"/>
      <c r="AJ58" s="484"/>
      <c r="AK58" s="484"/>
    </row>
    <row r="59" spans="1:45" ht="15.75" thickBot="1" x14ac:dyDescent="0.3">
      <c r="A59" s="497" t="s">
        <v>372</v>
      </c>
      <c r="B59" s="494">
        <f>B58*(1.02)^0</f>
        <v>0</v>
      </c>
      <c r="C59" s="494">
        <f>C58*(1.02)^1</f>
        <v>0</v>
      </c>
      <c r="D59" s="494">
        <f>D58*(1.02)^2</f>
        <v>0</v>
      </c>
      <c r="E59" s="494">
        <f>E58*(1.02)^3</f>
        <v>30491.619921713249</v>
      </c>
      <c r="F59" s="494">
        <f>F58*(1.02)^4</f>
        <v>62202.904640295033</v>
      </c>
      <c r="G59" s="494">
        <f>G58*(1.02)^5</f>
        <v>63446.962733100932</v>
      </c>
      <c r="H59" s="494">
        <f>H58*(1.02)^6</f>
        <v>64715.901987762954</v>
      </c>
      <c r="I59" s="494">
        <f>I58*(1.02)^7</f>
        <v>66010.220027518197</v>
      </c>
      <c r="J59" s="494">
        <f>J58*(1.02)^8</f>
        <v>67330.424428068567</v>
      </c>
      <c r="K59" s="494">
        <f>K58*(1.02)^9</f>
        <v>68677.032916629949</v>
      </c>
      <c r="L59" s="494">
        <f>L58*(1.02)^10</f>
        <v>70050.573574962546</v>
      </c>
      <c r="M59" s="495">
        <f>M58*(1.02)^11</f>
        <v>35725.792523230892</v>
      </c>
      <c r="N59" s="499">
        <f>SUM(B59:M59)</f>
        <v>528651.43275328237</v>
      </c>
      <c r="O59" s="482" t="s">
        <v>456</v>
      </c>
      <c r="Q59" s="110"/>
      <c r="R59" s="110"/>
      <c r="S59" s="110"/>
      <c r="T59" s="110"/>
      <c r="U59" s="110"/>
      <c r="V59" s="110"/>
      <c r="W59" s="110"/>
      <c r="X59" s="110"/>
      <c r="Y59" s="110"/>
      <c r="Z59" s="110"/>
      <c r="AA59" s="110"/>
      <c r="AB59" s="110"/>
      <c r="AC59" s="110"/>
      <c r="AD59" s="110"/>
      <c r="AE59" s="110"/>
      <c r="AF59" s="110"/>
      <c r="AG59" s="110"/>
      <c r="AH59" s="110"/>
      <c r="AI59" s="110"/>
      <c r="AJ59" s="110"/>
      <c r="AK59" s="110"/>
    </row>
    <row r="60" spans="1:45" s="80" customFormat="1" x14ac:dyDescent="0.25">
      <c r="A60" s="335" t="s">
        <v>466</v>
      </c>
      <c r="B60" s="284"/>
      <c r="C60" s="285"/>
      <c r="D60" s="285"/>
      <c r="E60" s="285"/>
      <c r="F60" s="285"/>
      <c r="G60" s="285"/>
      <c r="H60" s="285"/>
      <c r="I60" s="285"/>
      <c r="J60" s="285"/>
      <c r="K60" s="285"/>
      <c r="L60" s="285"/>
      <c r="M60" s="285"/>
      <c r="N60" s="287"/>
      <c r="Q60" s="333"/>
      <c r="R60" s="93"/>
      <c r="S60" s="93"/>
      <c r="T60" s="93"/>
      <c r="U60" s="93"/>
      <c r="V60" s="93"/>
      <c r="W60" s="93"/>
      <c r="X60" s="93"/>
      <c r="Y60" s="93"/>
      <c r="Z60" s="93"/>
      <c r="AA60" s="93"/>
      <c r="AB60" s="93"/>
      <c r="AC60" s="93"/>
      <c r="AD60" s="93"/>
      <c r="AE60" s="93"/>
      <c r="AF60" s="93"/>
      <c r="AG60" s="93"/>
      <c r="AH60" s="93"/>
      <c r="AI60" s="93"/>
      <c r="AJ60" s="93"/>
      <c r="AK60" s="93"/>
    </row>
    <row r="61" spans="1:45" x14ac:dyDescent="0.25">
      <c r="A61" s="322" t="s">
        <v>481</v>
      </c>
      <c r="B61" s="323"/>
      <c r="C61" s="324"/>
      <c r="D61" s="324"/>
      <c r="E61" s="324">
        <f>N61/16</f>
        <v>15358.293750000001</v>
      </c>
      <c r="F61" s="324">
        <f t="shared" ref="F61:L61" si="4">($N$61/16)*2</f>
        <v>30716.587500000001</v>
      </c>
      <c r="G61" s="324">
        <f t="shared" si="4"/>
        <v>30716.587500000001</v>
      </c>
      <c r="H61" s="324">
        <f t="shared" si="4"/>
        <v>30716.587500000001</v>
      </c>
      <c r="I61" s="324">
        <f t="shared" si="4"/>
        <v>30716.587500000001</v>
      </c>
      <c r="J61" s="324">
        <f t="shared" si="4"/>
        <v>30716.587500000001</v>
      </c>
      <c r="K61" s="324">
        <f t="shared" si="4"/>
        <v>30716.587500000001</v>
      </c>
      <c r="L61" s="324">
        <f t="shared" si="4"/>
        <v>30716.587500000001</v>
      </c>
      <c r="M61" s="324">
        <f>($N$61/16)*1</f>
        <v>15358.293750000001</v>
      </c>
      <c r="N61" s="330">
        <f>+'Post-Closure MEC Find Assesment'!I38</f>
        <v>245732.7</v>
      </c>
      <c r="Q61" s="66"/>
      <c r="R61" s="93"/>
      <c r="S61" s="93"/>
      <c r="T61" s="93"/>
      <c r="U61" s="93"/>
      <c r="V61" s="93"/>
      <c r="W61" s="93"/>
      <c r="X61" s="93"/>
      <c r="Y61" s="93"/>
      <c r="Z61" s="93"/>
      <c r="AA61" s="93"/>
      <c r="AB61" s="93"/>
      <c r="AC61" s="93"/>
      <c r="AD61" s="93"/>
      <c r="AE61" s="93"/>
      <c r="AF61" s="93"/>
      <c r="AG61" s="93"/>
      <c r="AH61" s="93"/>
      <c r="AI61" s="93"/>
      <c r="AJ61" s="93"/>
      <c r="AK61" s="93"/>
      <c r="AL61" s="80"/>
      <c r="AM61" s="80"/>
      <c r="AN61" s="80"/>
      <c r="AO61" s="80"/>
      <c r="AP61" s="80"/>
      <c r="AQ61" s="80"/>
      <c r="AR61" s="80"/>
      <c r="AS61" s="80"/>
    </row>
    <row r="62" spans="1:45" s="93" customFormat="1" ht="15.75" thickBot="1" x14ac:dyDescent="0.3">
      <c r="A62" s="322" t="s">
        <v>482</v>
      </c>
      <c r="B62" s="323"/>
      <c r="C62" s="324"/>
      <c r="D62" s="324"/>
      <c r="E62" s="324">
        <f>(N62-D62)/16</f>
        <v>72269.040598715248</v>
      </c>
      <c r="F62" s="324">
        <f t="shared" ref="F62:L62" si="5">(($N$62-$D$62)/16)*2</f>
        <v>144538.0811974305</v>
      </c>
      <c r="G62" s="324">
        <f t="shared" si="5"/>
        <v>144538.0811974305</v>
      </c>
      <c r="H62" s="324">
        <f t="shared" si="5"/>
        <v>144538.0811974305</v>
      </c>
      <c r="I62" s="324">
        <f t="shared" si="5"/>
        <v>144538.0811974305</v>
      </c>
      <c r="J62" s="324">
        <f t="shared" si="5"/>
        <v>144538.0811974305</v>
      </c>
      <c r="K62" s="324">
        <f t="shared" si="5"/>
        <v>144538.0811974305</v>
      </c>
      <c r="L62" s="324">
        <f t="shared" si="5"/>
        <v>144538.0811974305</v>
      </c>
      <c r="M62" s="324">
        <f>E62</f>
        <v>72269.040598715248</v>
      </c>
      <c r="N62" s="330">
        <f>+' Long Term Mgmnt 8y'!G116</f>
        <v>1156304.649579444</v>
      </c>
      <c r="O62" s="79"/>
      <c r="P62" s="79"/>
      <c r="Q62" s="66"/>
    </row>
    <row r="63" spans="1:45" s="482" customFormat="1" ht="15.75" thickBot="1" x14ac:dyDescent="0.3">
      <c r="A63" s="481" t="s">
        <v>483</v>
      </c>
      <c r="B63" s="111">
        <f>SUBTOTAL(9,B61:B62)</f>
        <v>0</v>
      </c>
      <c r="C63" s="111">
        <f t="shared" ref="C63" si="6">SUBTOTAL(9,C61:C62)</f>
        <v>0</v>
      </c>
      <c r="D63" s="111">
        <f t="shared" ref="D63" si="7">SUBTOTAL(9,D61:D62)</f>
        <v>0</v>
      </c>
      <c r="E63" s="111">
        <f t="shared" ref="E63" si="8">SUBTOTAL(9,E61:E62)</f>
        <v>87627.334348715245</v>
      </c>
      <c r="F63" s="111">
        <f t="shared" ref="F63" si="9">SUBTOTAL(9,F61:F62)</f>
        <v>175254.66869743049</v>
      </c>
      <c r="G63" s="111">
        <f t="shared" ref="G63" si="10">SUBTOTAL(9,G61:G62)</f>
        <v>175254.66869743049</v>
      </c>
      <c r="H63" s="111">
        <f t="shared" ref="H63" si="11">SUBTOTAL(9,H61:H62)</f>
        <v>175254.66869743049</v>
      </c>
      <c r="I63" s="111">
        <f t="shared" ref="I63" si="12">SUBTOTAL(9,I61:I62)</f>
        <v>175254.66869743049</v>
      </c>
      <c r="J63" s="111">
        <f t="shared" ref="J63" si="13">SUBTOTAL(9,J61:J62)</f>
        <v>175254.66869743049</v>
      </c>
      <c r="K63" s="111">
        <f t="shared" ref="K63" si="14">SUBTOTAL(9,K61:K62)</f>
        <v>175254.66869743049</v>
      </c>
      <c r="L63" s="111">
        <f t="shared" ref="L63" si="15">SUBTOTAL(9,L61:L62)</f>
        <v>175254.66869743049</v>
      </c>
      <c r="M63" s="112">
        <f t="shared" ref="M63" si="16">SUBTOTAL(9,M61:M62)</f>
        <v>87627.334348715245</v>
      </c>
      <c r="N63" s="287">
        <f t="shared" ref="N63" si="17">SUBTOTAL(9,N61:N62)</f>
        <v>1402037.3495794439</v>
      </c>
      <c r="Q63" s="483"/>
      <c r="R63" s="484"/>
      <c r="S63" s="484"/>
      <c r="T63" s="484"/>
      <c r="U63" s="484"/>
      <c r="V63" s="484"/>
      <c r="W63" s="484"/>
      <c r="X63" s="484"/>
      <c r="Y63" s="484"/>
      <c r="Z63" s="484"/>
      <c r="AA63" s="484"/>
      <c r="AB63" s="484"/>
      <c r="AC63" s="484"/>
      <c r="AD63" s="484"/>
      <c r="AE63" s="484"/>
      <c r="AF63" s="484"/>
      <c r="AG63" s="484"/>
      <c r="AH63" s="484"/>
      <c r="AI63" s="484"/>
      <c r="AJ63" s="484"/>
      <c r="AK63" s="484"/>
    </row>
    <row r="64" spans="1:45" ht="15.75" thickBot="1" x14ac:dyDescent="0.3">
      <c r="A64" s="497" t="s">
        <v>372</v>
      </c>
      <c r="B64" s="494">
        <f>B63*(1.02)^0</f>
        <v>0</v>
      </c>
      <c r="C64" s="494">
        <f>C63*(1.02)^1</f>
        <v>0</v>
      </c>
      <c r="D64" s="494">
        <f>D63*(1.02)^2</f>
        <v>0</v>
      </c>
      <c r="E64" s="494">
        <f>E63*(1.02)^3</f>
        <v>92990.828229531398</v>
      </c>
      <c r="F64" s="494">
        <f>F63*(1.02)^4</f>
        <v>189701.28958824408</v>
      </c>
      <c r="G64" s="494">
        <f>G63*(1.02)^5</f>
        <v>193495.31538000895</v>
      </c>
      <c r="H64" s="494">
        <f>H63*(1.02)^6</f>
        <v>197365.22168760916</v>
      </c>
      <c r="I64" s="494">
        <f>I63*(1.02)^7</f>
        <v>201312.5261213613</v>
      </c>
      <c r="J64" s="494">
        <f>J63*(1.02)^8</f>
        <v>205338.77664378853</v>
      </c>
      <c r="K64" s="494">
        <f>K63*(1.02)^9</f>
        <v>209445.55217666429</v>
      </c>
      <c r="L64" s="494">
        <f>L63*(1.02)^10</f>
        <v>213634.46322019759</v>
      </c>
      <c r="M64" s="495">
        <f>M63*(1.02)^11</f>
        <v>108953.57624230075</v>
      </c>
      <c r="N64" s="498">
        <f>SUM(B64:M64)</f>
        <v>1612237.5492897062</v>
      </c>
      <c r="Q64" s="110"/>
      <c r="R64" s="110"/>
      <c r="S64" s="110"/>
      <c r="T64" s="110"/>
      <c r="U64" s="110"/>
      <c r="V64" s="110"/>
      <c r="W64" s="110"/>
      <c r="X64" s="110"/>
      <c r="Y64" s="110"/>
      <c r="Z64" s="110"/>
      <c r="AA64" s="110"/>
      <c r="AB64" s="110"/>
      <c r="AC64" s="110"/>
      <c r="AD64" s="110"/>
      <c r="AE64" s="110"/>
      <c r="AF64" s="110"/>
      <c r="AG64" s="110"/>
      <c r="AH64" s="110"/>
      <c r="AI64" s="110"/>
      <c r="AJ64" s="110"/>
      <c r="AK64" s="110"/>
    </row>
    <row r="65" spans="1:37" s="93" customFormat="1" x14ac:dyDescent="0.25">
      <c r="A65" s="109" t="s">
        <v>467</v>
      </c>
      <c r="B65" s="284"/>
      <c r="C65" s="285"/>
      <c r="D65" s="285"/>
      <c r="E65" s="285"/>
      <c r="F65" s="285"/>
      <c r="G65" s="285"/>
      <c r="H65" s="285"/>
      <c r="I65" s="285"/>
      <c r="J65" s="285"/>
      <c r="K65" s="285"/>
      <c r="L65" s="285"/>
      <c r="M65" s="285"/>
      <c r="N65" s="287"/>
      <c r="O65" s="79"/>
      <c r="P65" s="79"/>
      <c r="Q65" s="66"/>
    </row>
    <row r="66" spans="1:37" s="93" customFormat="1" x14ac:dyDescent="0.25">
      <c r="A66" s="329" t="s">
        <v>461</v>
      </c>
      <c r="B66" s="323"/>
      <c r="C66" s="324"/>
      <c r="D66" s="324"/>
      <c r="E66" s="324">
        <f t="shared" ref="E66" si="18">N66/16</f>
        <v>110842.98840782227</v>
      </c>
      <c r="F66" s="324">
        <f t="shared" ref="F66:L66" si="19">($N$66/16)*2</f>
        <v>221685.97681564454</v>
      </c>
      <c r="G66" s="324">
        <f t="shared" si="19"/>
        <v>221685.97681564454</v>
      </c>
      <c r="H66" s="324">
        <f t="shared" si="19"/>
        <v>221685.97681564454</v>
      </c>
      <c r="I66" s="324">
        <f t="shared" si="19"/>
        <v>221685.97681564454</v>
      </c>
      <c r="J66" s="324">
        <f t="shared" si="19"/>
        <v>221685.97681564454</v>
      </c>
      <c r="K66" s="324">
        <f t="shared" si="19"/>
        <v>221685.97681564454</v>
      </c>
      <c r="L66" s="324">
        <f t="shared" si="19"/>
        <v>221685.97681564454</v>
      </c>
      <c r="M66" s="324">
        <f>($N$66/16)*1</f>
        <v>110842.98840782227</v>
      </c>
      <c r="N66" s="330">
        <f>+'LUC Mgmnt 8y'!I93</f>
        <v>1773487.8145251563</v>
      </c>
      <c r="O66" s="79"/>
      <c r="P66" s="79"/>
      <c r="Q66" s="66"/>
    </row>
    <row r="67" spans="1:37" s="93" customFormat="1" x14ac:dyDescent="0.25">
      <c r="A67" s="325" t="s">
        <v>462</v>
      </c>
      <c r="B67" s="326"/>
      <c r="C67" s="327"/>
      <c r="D67" s="327"/>
      <c r="E67" s="327">
        <f>+$N$67/16</f>
        <v>2944.5780000000004</v>
      </c>
      <c r="F67" s="327">
        <f t="shared" ref="F67:L67" si="20">+$N$67/8</f>
        <v>5889.1560000000009</v>
      </c>
      <c r="G67" s="327">
        <f t="shared" si="20"/>
        <v>5889.1560000000009</v>
      </c>
      <c r="H67" s="327">
        <f t="shared" si="20"/>
        <v>5889.1560000000009</v>
      </c>
      <c r="I67" s="327">
        <f t="shared" si="20"/>
        <v>5889.1560000000009</v>
      </c>
      <c r="J67" s="327">
        <f t="shared" si="20"/>
        <v>5889.1560000000009</v>
      </c>
      <c r="K67" s="327">
        <f t="shared" si="20"/>
        <v>5889.1560000000009</v>
      </c>
      <c r="L67" s="327">
        <f t="shared" si="20"/>
        <v>5889.1560000000009</v>
      </c>
      <c r="M67" s="327">
        <f>+E67</f>
        <v>2944.5780000000004</v>
      </c>
      <c r="N67" s="328">
        <f>+'LUC Mgmnt 8y'!K93</f>
        <v>47113.248000000007</v>
      </c>
      <c r="O67" s="79"/>
      <c r="P67" s="79"/>
      <c r="Q67" s="66"/>
    </row>
    <row r="68" spans="1:37" s="93" customFormat="1" ht="15.75" thickBot="1" x14ac:dyDescent="0.3">
      <c r="A68" s="500" t="s">
        <v>372</v>
      </c>
      <c r="B68" s="501">
        <f>B67*(1.02)^0</f>
        <v>0</v>
      </c>
      <c r="C68" s="502">
        <f>C67*(1.02)^1</f>
        <v>0</v>
      </c>
      <c r="D68" s="502">
        <f>D67*(1.02)^2</f>
        <v>0</v>
      </c>
      <c r="E68" s="502">
        <f>E67*(1.02)^3</f>
        <v>3124.8097302240003</v>
      </c>
      <c r="F68" s="502">
        <f>F67*(1.02)^4</f>
        <v>6374.6118496569607</v>
      </c>
      <c r="G68" s="502">
        <f>G67*(1.02)^5</f>
        <v>6502.1040866500998</v>
      </c>
      <c r="H68" s="502">
        <f>H67*(1.02)^6</f>
        <v>6632.1461683831021</v>
      </c>
      <c r="I68" s="502">
        <f>I67*(1.02)^7</f>
        <v>6764.789091750763</v>
      </c>
      <c r="J68" s="502">
        <f>J67*(1.02)^8</f>
        <v>6900.084873585779</v>
      </c>
      <c r="K68" s="502">
        <f>K67*(1.02)^9</f>
        <v>7038.0865710574944</v>
      </c>
      <c r="L68" s="502">
        <f>L67*(1.02)^10</f>
        <v>7178.8483024786447</v>
      </c>
      <c r="M68" s="503">
        <f>M67*(1.02)^11</f>
        <v>3661.2126342641081</v>
      </c>
      <c r="N68" s="499">
        <f>SUM(B68:M68)</f>
        <v>54176.693308050948</v>
      </c>
      <c r="O68" s="80" t="s">
        <v>456</v>
      </c>
      <c r="P68" s="80"/>
      <c r="Q68" s="333"/>
    </row>
    <row r="69" spans="1:37" s="482" customFormat="1" ht="15.75" thickBot="1" x14ac:dyDescent="0.3">
      <c r="A69" s="481" t="s">
        <v>483</v>
      </c>
      <c r="B69" s="111">
        <f t="shared" ref="B69:N69" si="21">SUBTOTAL(9,B66:B67)</f>
        <v>0</v>
      </c>
      <c r="C69" s="111">
        <f t="shared" si="21"/>
        <v>0</v>
      </c>
      <c r="D69" s="111">
        <f t="shared" si="21"/>
        <v>0</v>
      </c>
      <c r="E69" s="111">
        <f t="shared" si="21"/>
        <v>113787.56640782226</v>
      </c>
      <c r="F69" s="111">
        <f t="shared" si="21"/>
        <v>227575.13281564452</v>
      </c>
      <c r="G69" s="111">
        <f t="shared" si="21"/>
        <v>227575.13281564452</v>
      </c>
      <c r="H69" s="111">
        <f t="shared" si="21"/>
        <v>227575.13281564452</v>
      </c>
      <c r="I69" s="111">
        <f t="shared" si="21"/>
        <v>227575.13281564452</v>
      </c>
      <c r="J69" s="111">
        <f t="shared" si="21"/>
        <v>227575.13281564452</v>
      </c>
      <c r="K69" s="111">
        <f t="shared" si="21"/>
        <v>227575.13281564452</v>
      </c>
      <c r="L69" s="111">
        <f t="shared" si="21"/>
        <v>227575.13281564452</v>
      </c>
      <c r="M69" s="112">
        <f t="shared" si="21"/>
        <v>113787.56640782226</v>
      </c>
      <c r="N69" s="287">
        <f t="shared" si="21"/>
        <v>1820601.0625251562</v>
      </c>
      <c r="Q69" s="483"/>
      <c r="R69" s="484"/>
      <c r="S69" s="484"/>
      <c r="T69" s="484"/>
      <c r="U69" s="484"/>
      <c r="V69" s="484"/>
      <c r="W69" s="484"/>
      <c r="X69" s="484"/>
      <c r="Y69" s="484"/>
      <c r="Z69" s="484"/>
      <c r="AA69" s="484"/>
      <c r="AB69" s="484"/>
      <c r="AC69" s="484"/>
      <c r="AD69" s="484"/>
      <c r="AE69" s="484"/>
      <c r="AF69" s="484"/>
      <c r="AG69" s="484"/>
      <c r="AH69" s="484"/>
      <c r="AI69" s="484"/>
      <c r="AJ69" s="484"/>
      <c r="AK69" s="484"/>
    </row>
    <row r="70" spans="1:37" ht="15.75" thickBot="1" x14ac:dyDescent="0.3">
      <c r="A70" s="497" t="s">
        <v>372</v>
      </c>
      <c r="B70" s="494">
        <f>B69*(1.02)^0</f>
        <v>0</v>
      </c>
      <c r="C70" s="494">
        <f>C69*(1.02)^1</f>
        <v>0</v>
      </c>
      <c r="D70" s="494">
        <f>D69*(1.02)^2</f>
        <v>0</v>
      </c>
      <c r="E70" s="494">
        <f>E69*(1.02)^3</f>
        <v>120752.27577251224</v>
      </c>
      <c r="F70" s="494">
        <f>F69*(1.02)^4</f>
        <v>246334.64257592498</v>
      </c>
      <c r="G70" s="494">
        <f>G69*(1.02)^5</f>
        <v>251261.3354274435</v>
      </c>
      <c r="H70" s="494">
        <f>H69*(1.02)^6</f>
        <v>256286.56213599237</v>
      </c>
      <c r="I70" s="494">
        <f>I69*(1.02)^7</f>
        <v>261412.29337871214</v>
      </c>
      <c r="J70" s="494">
        <f>J69*(1.02)^8</f>
        <v>266640.53924628644</v>
      </c>
      <c r="K70" s="494">
        <f>K69*(1.02)^9</f>
        <v>271973.35003121215</v>
      </c>
      <c r="L70" s="494">
        <f>L69*(1.02)^10</f>
        <v>277412.81703183643</v>
      </c>
      <c r="M70" s="495">
        <f>M69*(1.02)^11</f>
        <v>141480.53668623653</v>
      </c>
      <c r="N70" s="498">
        <f>SUM(B70:M70)</f>
        <v>2093554.3522861567</v>
      </c>
      <c r="Q70" s="110"/>
      <c r="R70" s="110"/>
      <c r="S70" s="110"/>
      <c r="T70" s="110"/>
      <c r="U70" s="110"/>
      <c r="V70" s="110"/>
      <c r="W70" s="110"/>
      <c r="X70" s="110"/>
      <c r="Y70" s="110"/>
      <c r="Z70" s="110"/>
      <c r="AA70" s="110"/>
      <c r="AB70" s="110"/>
      <c r="AC70" s="110"/>
      <c r="AD70" s="110"/>
      <c r="AE70" s="110"/>
      <c r="AF70" s="110"/>
      <c r="AG70" s="110"/>
      <c r="AH70" s="110"/>
      <c r="AI70" s="110"/>
      <c r="AJ70" s="110"/>
      <c r="AK70" s="110"/>
    </row>
    <row r="71" spans="1:37" s="484" customFormat="1" x14ac:dyDescent="0.25">
      <c r="A71" s="485"/>
      <c r="B71" s="486"/>
      <c r="C71" s="486"/>
      <c r="D71" s="486"/>
      <c r="E71" s="486"/>
      <c r="F71" s="486"/>
      <c r="G71" s="486"/>
      <c r="H71" s="486"/>
      <c r="I71" s="486"/>
      <c r="J71" s="486"/>
      <c r="K71" s="486"/>
      <c r="L71" s="486"/>
      <c r="M71" s="486"/>
      <c r="N71" s="487"/>
      <c r="O71" s="482"/>
      <c r="P71" s="482"/>
      <c r="Q71" s="483"/>
    </row>
    <row r="72" spans="1:37" s="484" customFormat="1" ht="15.75" thickBot="1" x14ac:dyDescent="0.3">
      <c r="A72" s="489" t="s">
        <v>484</v>
      </c>
      <c r="B72" s="486"/>
      <c r="C72" s="486"/>
      <c r="D72" s="486"/>
      <c r="E72" s="486"/>
      <c r="F72" s="486"/>
      <c r="G72" s="486"/>
      <c r="H72" s="486"/>
      <c r="I72" s="486"/>
      <c r="J72" s="486"/>
      <c r="K72" s="486"/>
      <c r="L72" s="486"/>
      <c r="M72" s="486"/>
      <c r="N72" s="487"/>
      <c r="O72" s="482"/>
      <c r="P72" s="482"/>
      <c r="Q72" s="483"/>
    </row>
    <row r="73" spans="1:37" ht="15.75" thickBot="1" x14ac:dyDescent="0.3">
      <c r="A73" s="490" t="s">
        <v>367</v>
      </c>
      <c r="B73" s="491">
        <f t="shared" ref="B73:N73" si="22">+B51+B53+B58+B63+B69</f>
        <v>388058.97265348223</v>
      </c>
      <c r="C73" s="491">
        <f t="shared" si="22"/>
        <v>887435.19238413009</v>
      </c>
      <c r="D73" s="491">
        <f t="shared" si="22"/>
        <v>1011598.24238413</v>
      </c>
      <c r="E73" s="491">
        <f t="shared" si="22"/>
        <v>480853.81699427566</v>
      </c>
      <c r="F73" s="491">
        <f t="shared" si="22"/>
        <v>460295.67045057501</v>
      </c>
      <c r="G73" s="491">
        <f t="shared" si="22"/>
        <v>460295.67045057501</v>
      </c>
      <c r="H73" s="491">
        <f t="shared" si="22"/>
        <v>460295.67045057501</v>
      </c>
      <c r="I73" s="491">
        <f t="shared" si="22"/>
        <v>460295.67045057501</v>
      </c>
      <c r="J73" s="491">
        <f t="shared" si="22"/>
        <v>460295.67045057501</v>
      </c>
      <c r="K73" s="491">
        <f t="shared" si="22"/>
        <v>460295.67045057501</v>
      </c>
      <c r="L73" s="491">
        <f t="shared" si="22"/>
        <v>460295.67045057501</v>
      </c>
      <c r="M73" s="491">
        <f t="shared" si="22"/>
        <v>230147.8352252875</v>
      </c>
      <c r="N73" s="492">
        <f t="shared" si="22"/>
        <v>6220163.7527953302</v>
      </c>
      <c r="O73" s="236">
        <f>N73/8875334</f>
        <v>0.70083714627475768</v>
      </c>
      <c r="P73" s="237" t="s">
        <v>436</v>
      </c>
      <c r="Q73" s="110"/>
      <c r="R73" s="110"/>
      <c r="S73" s="110"/>
      <c r="T73" s="110"/>
      <c r="U73" s="110"/>
      <c r="V73" s="110"/>
      <c r="W73" s="110"/>
      <c r="X73" s="110"/>
      <c r="Y73" s="110"/>
      <c r="Z73" s="110"/>
      <c r="AA73" s="110"/>
      <c r="AB73" s="110"/>
      <c r="AC73" s="110"/>
      <c r="AD73" s="110"/>
      <c r="AE73" s="110"/>
      <c r="AF73" s="110"/>
      <c r="AG73" s="110"/>
      <c r="AH73" s="110"/>
      <c r="AI73" s="110"/>
    </row>
    <row r="74" spans="1:37" ht="15.75" thickBot="1" x14ac:dyDescent="0.3">
      <c r="A74" s="493" t="s">
        <v>372</v>
      </c>
      <c r="B74" s="494">
        <f>B73*(1.02)^0</f>
        <v>388058.97265348223</v>
      </c>
      <c r="C74" s="494">
        <f>C73*(1.02)^1</f>
        <v>905183.89623181266</v>
      </c>
      <c r="D74" s="494">
        <f>D73*(1.02)^2</f>
        <v>1052466.811376449</v>
      </c>
      <c r="E74" s="494">
        <f>E73*(1.02)^3</f>
        <v>510285.91742486128</v>
      </c>
      <c r="F74" s="494">
        <f>F73*(1.02)^4</f>
        <v>498238.83680446405</v>
      </c>
      <c r="G74" s="494">
        <f>G73*(1.02)^5</f>
        <v>508203.61354055337</v>
      </c>
      <c r="H74" s="494">
        <f>H73*(1.02)^6</f>
        <v>518367.68581136444</v>
      </c>
      <c r="I74" s="494">
        <f>I73*(1.02)^7</f>
        <v>528735.03952759167</v>
      </c>
      <c r="J74" s="494">
        <f>J73*(1.02)^8</f>
        <v>539309.74031814351</v>
      </c>
      <c r="K74" s="494">
        <f>K73*(1.02)^9</f>
        <v>550095.93512450636</v>
      </c>
      <c r="L74" s="494">
        <f>L73*(1.02)^10</f>
        <v>561097.85382699652</v>
      </c>
      <c r="M74" s="495">
        <f>M73*(1.02)^11</f>
        <v>286159.90545176819</v>
      </c>
      <c r="N74" s="496">
        <f>SUM(B74:M74)</f>
        <v>6846204.2080919938</v>
      </c>
      <c r="Q74" s="110"/>
      <c r="R74" s="110"/>
      <c r="S74" s="110"/>
      <c r="T74" s="110"/>
      <c r="U74" s="110"/>
      <c r="V74" s="110"/>
      <c r="W74" s="110"/>
      <c r="X74" s="110"/>
      <c r="Y74" s="110"/>
      <c r="Z74" s="110"/>
      <c r="AA74" s="110"/>
      <c r="AB74" s="110"/>
      <c r="AC74" s="110"/>
      <c r="AD74" s="110"/>
      <c r="AE74" s="110"/>
      <c r="AF74" s="110"/>
      <c r="AG74" s="110"/>
      <c r="AH74" s="110"/>
      <c r="AI74" s="110"/>
      <c r="AJ74" s="110"/>
      <c r="AK74" s="110"/>
    </row>
    <row r="75" spans="1:37" x14ac:dyDescent="0.25">
      <c r="A75" s="17"/>
      <c r="P75" s="110"/>
      <c r="R75" s="110"/>
      <c r="S75" s="110"/>
      <c r="T75" s="110"/>
      <c r="U75" s="110"/>
      <c r="V75" s="110"/>
      <c r="W75" s="110"/>
      <c r="X75" s="110"/>
      <c r="Y75" s="110"/>
      <c r="Z75" s="110"/>
      <c r="AA75" s="110"/>
      <c r="AB75" s="110"/>
      <c r="AC75" s="110"/>
      <c r="AD75" s="110"/>
      <c r="AE75" s="110"/>
      <c r="AF75" s="110"/>
      <c r="AG75" s="110"/>
      <c r="AH75" s="110"/>
      <c r="AI75" s="110"/>
      <c r="AJ75" s="110"/>
      <c r="AK75" s="110"/>
    </row>
    <row r="76" spans="1:37" x14ac:dyDescent="0.25">
      <c r="A76" s="17"/>
      <c r="N76" s="504">
        <f>N52+N59+N68</f>
        <v>1328740.7867759487</v>
      </c>
      <c r="O76" s="75" t="s">
        <v>456</v>
      </c>
      <c r="P76" s="110"/>
      <c r="R76" s="110"/>
      <c r="S76" s="110"/>
      <c r="T76" s="110"/>
      <c r="U76" s="110"/>
      <c r="V76" s="110"/>
      <c r="W76" s="110"/>
      <c r="X76" s="110"/>
      <c r="Y76" s="110"/>
      <c r="Z76" s="110"/>
      <c r="AA76" s="110"/>
      <c r="AB76" s="110"/>
      <c r="AC76" s="110"/>
      <c r="AD76" s="110"/>
      <c r="AE76" s="110"/>
      <c r="AF76" s="110"/>
      <c r="AG76" s="110"/>
      <c r="AH76" s="110"/>
      <c r="AI76" s="110"/>
      <c r="AJ76" s="110"/>
      <c r="AK76" s="110"/>
    </row>
    <row r="77" spans="1:37" ht="15.75" hidden="1" thickBot="1" x14ac:dyDescent="0.3">
      <c r="A77" s="289"/>
      <c r="B77" s="290" t="s">
        <v>242</v>
      </c>
      <c r="C77" s="387" t="s">
        <v>448</v>
      </c>
      <c r="D77" s="349" t="s">
        <v>475</v>
      </c>
      <c r="E77" s="379" t="s">
        <v>463</v>
      </c>
      <c r="F77" s="113"/>
      <c r="J77" s="110"/>
      <c r="K77" s="110"/>
      <c r="L77" s="110"/>
      <c r="M77" s="113"/>
      <c r="N77" s="75"/>
      <c r="O77" s="75"/>
      <c r="P77" s="110"/>
      <c r="Q77" s="110"/>
      <c r="R77" s="110"/>
      <c r="S77" s="110"/>
      <c r="T77" s="110"/>
      <c r="U77" s="110"/>
      <c r="V77" s="110"/>
      <c r="W77" s="110"/>
      <c r="X77" s="110"/>
      <c r="Y77" s="110"/>
      <c r="Z77" s="110"/>
      <c r="AA77" s="110"/>
      <c r="AB77" s="110"/>
      <c r="AC77" s="110"/>
    </row>
    <row r="78" spans="1:37" hidden="1" x14ac:dyDescent="0.25">
      <c r="A78" s="291" t="s">
        <v>366</v>
      </c>
      <c r="B78" s="292">
        <f>'Post-Closure MEC Find Assesment'!D38</f>
        <v>3435</v>
      </c>
      <c r="C78" s="388">
        <f>+'Post-Closure MEC Find Assesment'!H38</f>
        <v>1083</v>
      </c>
      <c r="D78" s="383">
        <f>+'Post-Closure MEC Find Assesment'!L38</f>
        <v>1065</v>
      </c>
      <c r="E78" s="384">
        <f>+'Post-Closure MEC Find Assesment'!J38</f>
        <v>1181</v>
      </c>
      <c r="F78" s="113"/>
      <c r="J78" s="110"/>
      <c r="K78" s="110"/>
      <c r="L78" s="110"/>
      <c r="N78" s="75"/>
      <c r="O78" s="75"/>
      <c r="P78" s="110"/>
      <c r="Q78" s="110"/>
      <c r="R78" s="110"/>
      <c r="S78" s="110"/>
      <c r="T78" s="110"/>
      <c r="U78" s="110"/>
      <c r="V78" s="110"/>
      <c r="W78" s="110"/>
      <c r="X78" s="110"/>
      <c r="Y78" s="110"/>
      <c r="Z78" s="110"/>
      <c r="AA78" s="110"/>
      <c r="AB78" s="110"/>
      <c r="AC78" s="110"/>
    </row>
    <row r="79" spans="1:37" hidden="1" x14ac:dyDescent="0.25">
      <c r="A79" s="293" t="s">
        <v>364</v>
      </c>
      <c r="B79" s="294">
        <f>' Long Term Mgmnt 8y'!D116</f>
        <v>5096</v>
      </c>
      <c r="C79" s="389">
        <f>+' Long Term Mgmnt 8y'!F116</f>
        <v>5096</v>
      </c>
      <c r="D79" s="351">
        <v>0</v>
      </c>
      <c r="E79" s="382">
        <v>0</v>
      </c>
      <c r="F79" s="113"/>
      <c r="J79" s="110"/>
      <c r="K79" s="110"/>
      <c r="L79" s="110"/>
      <c r="N79" s="75"/>
      <c r="O79" s="75"/>
      <c r="P79" s="110"/>
      <c r="Q79" s="110"/>
      <c r="R79" s="110"/>
      <c r="S79" s="110"/>
      <c r="T79" s="110"/>
      <c r="U79" s="110"/>
      <c r="V79" s="110"/>
      <c r="W79" s="110"/>
      <c r="X79" s="110"/>
      <c r="Y79" s="110"/>
      <c r="Z79" s="110"/>
      <c r="AA79" s="110"/>
      <c r="AB79" s="110"/>
      <c r="AC79" s="110"/>
    </row>
    <row r="80" spans="1:37" ht="15.75" hidden="1" thickBot="1" x14ac:dyDescent="0.3">
      <c r="A80" s="295" t="s">
        <v>365</v>
      </c>
      <c r="B80" s="296">
        <f>'LUC Mgmnt 8y'!D93</f>
        <v>8408</v>
      </c>
      <c r="C80" s="390">
        <f>+'LUC Mgmnt 8y'!H93</f>
        <v>7816</v>
      </c>
      <c r="D80" s="385">
        <v>0</v>
      </c>
      <c r="E80" s="386">
        <f>+'LUC Mgmnt 8y'!J93</f>
        <v>192</v>
      </c>
      <c r="F80" s="95"/>
      <c r="J80" s="110"/>
      <c r="K80" s="110"/>
      <c r="L80" s="110"/>
      <c r="N80" s="75"/>
      <c r="O80" s="75"/>
      <c r="P80" s="110"/>
      <c r="Q80" s="110"/>
      <c r="R80" s="110"/>
      <c r="S80" s="110"/>
      <c r="T80" s="110"/>
      <c r="U80" s="110"/>
      <c r="V80" s="110"/>
      <c r="W80" s="110"/>
      <c r="X80" s="110"/>
      <c r="Y80" s="110"/>
      <c r="Z80" s="110"/>
      <c r="AA80" s="110"/>
      <c r="AB80" s="110"/>
      <c r="AC80" s="110"/>
    </row>
    <row r="81" spans="1:29" hidden="1" x14ac:dyDescent="0.25">
      <c r="A81" s="297" t="s">
        <v>242</v>
      </c>
      <c r="B81" s="298">
        <f>SUM(B78:B80)</f>
        <v>16939</v>
      </c>
      <c r="C81" s="391">
        <f>SUM(C78:C80)</f>
        <v>13995</v>
      </c>
      <c r="D81" s="373">
        <f>SUM(D78:D80)</f>
        <v>1065</v>
      </c>
      <c r="E81" s="380">
        <f>SUM(E78:E80)</f>
        <v>1373</v>
      </c>
      <c r="F81" s="272"/>
      <c r="J81" s="110"/>
      <c r="K81" s="110"/>
      <c r="L81" s="110"/>
      <c r="M81" s="110"/>
      <c r="N81" s="75"/>
      <c r="O81" s="75"/>
      <c r="P81" s="110"/>
      <c r="Q81" s="110"/>
      <c r="R81" s="110"/>
      <c r="S81" s="110"/>
      <c r="T81" s="110"/>
      <c r="U81" s="110"/>
      <c r="V81" s="110"/>
      <c r="W81" s="110"/>
      <c r="X81" s="110"/>
      <c r="Y81" s="110"/>
      <c r="Z81" s="110"/>
      <c r="AA81" s="110"/>
      <c r="AB81" s="110"/>
      <c r="AC81" s="110"/>
    </row>
    <row r="82" spans="1:29" hidden="1" x14ac:dyDescent="0.25">
      <c r="A82" s="299" t="s">
        <v>447</v>
      </c>
      <c r="B82" s="300"/>
      <c r="C82" s="392">
        <f>1750*8</f>
        <v>14000</v>
      </c>
      <c r="D82" s="350"/>
      <c r="E82" s="381"/>
      <c r="J82" s="110"/>
      <c r="K82" s="110"/>
      <c r="L82" s="110"/>
      <c r="M82" s="110"/>
      <c r="N82" s="75"/>
      <c r="O82" s="75"/>
      <c r="P82" s="110"/>
      <c r="Q82" s="110"/>
      <c r="R82" s="110"/>
      <c r="S82" s="110"/>
      <c r="T82" s="110"/>
      <c r="U82" s="110"/>
      <c r="V82" s="110"/>
      <c r="W82" s="110"/>
      <c r="X82" s="110"/>
      <c r="Y82" s="110"/>
      <c r="Z82" s="110"/>
      <c r="AA82" s="110"/>
      <c r="AB82" s="110"/>
      <c r="AC82" s="110"/>
    </row>
    <row r="83" spans="1:29" hidden="1" x14ac:dyDescent="0.25">
      <c r="A83" s="332"/>
      <c r="B83" s="93"/>
      <c r="C83" s="93"/>
      <c r="D83" s="80"/>
      <c r="E83" s="80"/>
      <c r="K83" s="110"/>
      <c r="L83" s="110"/>
      <c r="M83" s="110"/>
      <c r="N83" s="75"/>
      <c r="O83" s="75"/>
      <c r="Q83" s="110"/>
    </row>
    <row r="84" spans="1:29" ht="21" x14ac:dyDescent="0.35">
      <c r="A84" s="182"/>
      <c r="B84" s="333"/>
      <c r="C84" s="182"/>
      <c r="D84" s="182"/>
      <c r="E84" s="454"/>
      <c r="F84" s="80"/>
      <c r="G84" s="80"/>
      <c r="H84" s="80"/>
      <c r="I84" s="80"/>
      <c r="J84" s="80"/>
      <c r="K84" s="80"/>
      <c r="L84" s="80"/>
      <c r="M84" s="80"/>
      <c r="N84" s="285">
        <v>210000</v>
      </c>
      <c r="O84" s="157" t="s">
        <v>487</v>
      </c>
      <c r="P84" s="80"/>
    </row>
    <row r="85" spans="1:29" x14ac:dyDescent="0.25">
      <c r="A85" s="93"/>
      <c r="B85" s="334"/>
      <c r="C85" s="331"/>
      <c r="D85" s="331"/>
      <c r="E85" s="331"/>
      <c r="N85" s="505">
        <f>N74-N76-N84</f>
        <v>5307463.4213160453</v>
      </c>
      <c r="O85" s="75" t="s">
        <v>488</v>
      </c>
    </row>
    <row r="86" spans="1:29" x14ac:dyDescent="0.25">
      <c r="A86" s="93"/>
      <c r="B86" s="333"/>
      <c r="C86" s="331"/>
      <c r="D86" s="331"/>
      <c r="E86" s="331"/>
    </row>
    <row r="87" spans="1:29" x14ac:dyDescent="0.25">
      <c r="A87" s="93"/>
      <c r="B87" s="393"/>
      <c r="C87" s="331"/>
      <c r="D87" s="331"/>
      <c r="E87" s="331"/>
    </row>
    <row r="88" spans="1:29" x14ac:dyDescent="0.25">
      <c r="A88" s="93"/>
      <c r="B88" s="334"/>
      <c r="C88" s="93"/>
      <c r="D88" s="93"/>
      <c r="E88" s="93"/>
      <c r="Q88" s="211"/>
    </row>
    <row r="89" spans="1:29" x14ac:dyDescent="0.25">
      <c r="B89" s="334"/>
    </row>
    <row r="90" spans="1:29" x14ac:dyDescent="0.25">
      <c r="B90" s="334"/>
    </row>
  </sheetData>
  <pageMargins left="0.7" right="0.7" top="0.75" bottom="0.75" header="0.3" footer="0.3"/>
  <pageSetup scale="41"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28"/>
  <sheetViews>
    <sheetView zoomScale="70" zoomScaleNormal="70" workbookViewId="0">
      <selection activeCell="P4" sqref="P4"/>
    </sheetView>
  </sheetViews>
  <sheetFormatPr defaultColWidth="12.28515625" defaultRowHeight="15" x14ac:dyDescent="0.25"/>
  <cols>
    <col min="1" max="1" width="13.5703125" style="18" customWidth="1"/>
    <col min="2" max="2" width="13.5703125" customWidth="1"/>
    <col min="3" max="12" width="13.5703125" style="18" customWidth="1"/>
    <col min="13" max="14" width="13.5703125" customWidth="1"/>
    <col min="15" max="15" width="18.28515625" customWidth="1"/>
    <col min="16" max="44" width="13.5703125" customWidth="1"/>
  </cols>
  <sheetData>
    <row r="1" spans="1:16" s="17" customFormat="1" ht="15.75" thickBot="1" x14ac:dyDescent="0.3">
      <c r="B1" s="17" t="s">
        <v>328</v>
      </c>
      <c r="C1" s="17" t="s">
        <v>329</v>
      </c>
      <c r="D1" s="17" t="s">
        <v>330</v>
      </c>
      <c r="E1" s="17" t="s">
        <v>331</v>
      </c>
      <c r="F1" s="17" t="s">
        <v>332</v>
      </c>
      <c r="G1" s="17" t="s">
        <v>333</v>
      </c>
      <c r="H1" s="17" t="s">
        <v>334</v>
      </c>
      <c r="I1" s="17" t="s">
        <v>335</v>
      </c>
      <c r="J1" s="17" t="s">
        <v>336</v>
      </c>
      <c r="K1" s="17" t="s">
        <v>439</v>
      </c>
      <c r="L1" s="17" t="s">
        <v>337</v>
      </c>
    </row>
    <row r="2" spans="1:16" s="25" customFormat="1" ht="30.75" thickBot="1" x14ac:dyDescent="0.3">
      <c r="A2" s="22" t="s">
        <v>338</v>
      </c>
      <c r="B2" s="23">
        <v>300000</v>
      </c>
      <c r="C2" s="24">
        <v>119206</v>
      </c>
      <c r="D2" s="24">
        <v>123941</v>
      </c>
      <c r="E2" s="24">
        <v>193790</v>
      </c>
      <c r="F2" s="24">
        <v>133735</v>
      </c>
      <c r="G2" s="24">
        <v>122168</v>
      </c>
      <c r="H2" s="24">
        <v>141452</v>
      </c>
      <c r="I2" s="24">
        <v>162625</v>
      </c>
      <c r="J2" s="24">
        <v>241473</v>
      </c>
      <c r="K2" s="24">
        <v>114655</v>
      </c>
      <c r="L2" s="257">
        <f>(C2+D2+E2+F2+G2+H2+I2+J2+K2)/9</f>
        <v>150338.33333333334</v>
      </c>
    </row>
    <row r="3" spans="1:16" s="25" customFormat="1" ht="54.6" customHeight="1" thickBot="1" x14ac:dyDescent="0.3">
      <c r="A3" s="22" t="s">
        <v>339</v>
      </c>
      <c r="B3" s="23">
        <v>0</v>
      </c>
      <c r="C3" s="26">
        <v>146575</v>
      </c>
      <c r="D3" s="26">
        <v>80520</v>
      </c>
      <c r="E3" s="26">
        <v>118084</v>
      </c>
      <c r="F3" s="26">
        <v>89903</v>
      </c>
      <c r="G3" s="26">
        <v>114476</v>
      </c>
      <c r="H3" s="26">
        <v>124450</v>
      </c>
      <c r="I3" s="26">
        <v>96236</v>
      </c>
      <c r="J3" s="27">
        <v>138799</v>
      </c>
      <c r="K3" s="27">
        <v>278045</v>
      </c>
      <c r="L3" s="257">
        <f>(C3+D3+E3+F3+G3+H3+I3+J3+K3)/9</f>
        <v>131898.66666666666</v>
      </c>
      <c r="M3" s="25" t="s">
        <v>340</v>
      </c>
      <c r="N3" s="25" t="s">
        <v>341</v>
      </c>
      <c r="O3" s="28" t="s">
        <v>381</v>
      </c>
      <c r="P3" s="254" t="s">
        <v>438</v>
      </c>
    </row>
    <row r="4" spans="1:16" s="25" customFormat="1" ht="43.15" customHeight="1" thickBot="1" x14ac:dyDescent="0.3">
      <c r="A4" s="22" t="s">
        <v>342</v>
      </c>
      <c r="B4" s="29"/>
      <c r="C4" s="30">
        <f t="shared" ref="C4:K4" si="0">C2+C3</f>
        <v>265781</v>
      </c>
      <c r="D4" s="30">
        <f t="shared" si="0"/>
        <v>204461</v>
      </c>
      <c r="E4" s="30">
        <f t="shared" si="0"/>
        <v>311874</v>
      </c>
      <c r="F4" s="30">
        <f t="shared" si="0"/>
        <v>223638</v>
      </c>
      <c r="G4" s="30">
        <f t="shared" si="0"/>
        <v>236644</v>
      </c>
      <c r="H4" s="30">
        <f t="shared" si="0"/>
        <v>265902</v>
      </c>
      <c r="I4" s="30">
        <f t="shared" si="0"/>
        <v>258861</v>
      </c>
      <c r="J4" s="31">
        <f t="shared" si="0"/>
        <v>380272</v>
      </c>
      <c r="K4" s="31">
        <f t="shared" si="0"/>
        <v>392700</v>
      </c>
      <c r="L4" s="257">
        <f>(C4+D4+E4+F4+G4+H4+I4+J4+K4)/9</f>
        <v>282237</v>
      </c>
      <c r="M4" s="32">
        <f>(L4/12)*24</f>
        <v>564474</v>
      </c>
      <c r="N4" s="32">
        <f>M4*0.15</f>
        <v>84671.099999999991</v>
      </c>
      <c r="O4" s="33">
        <f>M4+N4</f>
        <v>649145.1</v>
      </c>
      <c r="P4" s="255">
        <f>O4*(1+(6/52))</f>
        <v>724046.45769230765</v>
      </c>
    </row>
    <row r="5" spans="1:16" s="39" customFormat="1" ht="30" x14ac:dyDescent="0.25">
      <c r="A5" s="34"/>
      <c r="B5" s="35"/>
      <c r="C5" s="36"/>
      <c r="D5" s="36"/>
      <c r="E5" s="36"/>
      <c r="F5" s="36"/>
      <c r="G5" s="36"/>
      <c r="H5" s="36"/>
      <c r="J5" s="18"/>
      <c r="K5" s="37" t="s">
        <v>343</v>
      </c>
      <c r="L5" s="18"/>
      <c r="M5" s="38"/>
    </row>
    <row r="6" spans="1:16" s="39" customFormat="1" x14ac:dyDescent="0.25">
      <c r="A6" s="34"/>
      <c r="B6" s="35"/>
      <c r="C6" s="36"/>
      <c r="D6" s="36"/>
      <c r="E6" s="36"/>
      <c r="F6" s="36"/>
      <c r="G6" s="36"/>
      <c r="H6" s="36"/>
      <c r="J6" s="40" t="s">
        <v>344</v>
      </c>
      <c r="K6" s="41">
        <f>223437-41473</f>
        <v>181964</v>
      </c>
      <c r="L6" s="18"/>
      <c r="M6" s="38"/>
    </row>
    <row r="7" spans="1:16" s="39" customFormat="1" ht="15.75" thickBot="1" x14ac:dyDescent="0.3">
      <c r="A7" s="34"/>
      <c r="B7" s="35"/>
      <c r="C7" s="36"/>
      <c r="D7" s="36"/>
      <c r="E7" s="36"/>
      <c r="F7" s="36"/>
      <c r="G7" s="36"/>
      <c r="H7" s="36"/>
      <c r="J7" s="40" t="s">
        <v>345</v>
      </c>
      <c r="K7" s="42">
        <v>300000</v>
      </c>
      <c r="L7" s="18"/>
      <c r="M7" s="38"/>
    </row>
    <row r="8" spans="1:16" s="39" customFormat="1" x14ac:dyDescent="0.25">
      <c r="A8" s="34"/>
      <c r="B8" s="35"/>
      <c r="C8" s="36"/>
      <c r="D8" s="36"/>
      <c r="E8" s="36"/>
      <c r="F8" s="36"/>
      <c r="G8" s="36"/>
      <c r="H8" s="36"/>
      <c r="J8" s="18" t="s">
        <v>346</v>
      </c>
      <c r="K8" s="43">
        <f>K6+K7</f>
        <v>481964</v>
      </c>
      <c r="L8" s="18"/>
      <c r="M8" s="38"/>
    </row>
    <row r="9" spans="1:16" s="39" customFormat="1" ht="15.75" thickBot="1" x14ac:dyDescent="0.3">
      <c r="A9" s="34"/>
      <c r="B9" s="35"/>
      <c r="C9" s="36"/>
      <c r="D9" s="36"/>
      <c r="E9" s="36"/>
      <c r="F9" s="36"/>
      <c r="G9" s="36"/>
      <c r="H9" s="36"/>
      <c r="J9" s="40" t="s">
        <v>382</v>
      </c>
      <c r="K9" s="54">
        <f>L4</f>
        <v>282237</v>
      </c>
      <c r="L9" s="18"/>
      <c r="M9" s="38"/>
    </row>
    <row r="10" spans="1:16" s="39" customFormat="1" ht="97.9" customHeight="1" thickBot="1" x14ac:dyDescent="0.3">
      <c r="A10" s="34"/>
      <c r="B10" s="35"/>
      <c r="C10" s="36"/>
      <c r="D10" s="36"/>
      <c r="E10" s="36"/>
      <c r="F10" s="36"/>
      <c r="G10" s="36"/>
      <c r="H10" s="36"/>
      <c r="I10" s="55" t="s">
        <v>347</v>
      </c>
      <c r="J10" s="45">
        <f>K8/K9</f>
        <v>1.7076570400053857</v>
      </c>
      <c r="K10" s="256"/>
      <c r="L10" s="56" t="s">
        <v>348</v>
      </c>
      <c r="M10" s="38"/>
    </row>
    <row r="11" spans="1:16" s="39" customFormat="1" ht="20.45" customHeight="1" x14ac:dyDescent="0.25">
      <c r="A11" s="34"/>
      <c r="B11" s="35"/>
      <c r="C11" s="36"/>
      <c r="D11" s="36"/>
      <c r="E11" s="36"/>
      <c r="F11" s="36"/>
      <c r="G11" s="36"/>
      <c r="H11" s="36"/>
      <c r="I11" s="44"/>
      <c r="J11" s="46"/>
      <c r="K11" s="46"/>
      <c r="L11" s="37"/>
      <c r="M11" s="38"/>
    </row>
    <row r="19" spans="12:12" s="39" customFormat="1" x14ac:dyDescent="0.25">
      <c r="L19" s="47"/>
    </row>
    <row r="47" spans="1:12" x14ac:dyDescent="0.25">
      <c r="C47" s="17" t="s">
        <v>329</v>
      </c>
      <c r="D47" s="17" t="s">
        <v>330</v>
      </c>
      <c r="E47" s="17" t="s">
        <v>331</v>
      </c>
      <c r="F47" s="17" t="s">
        <v>332</v>
      </c>
      <c r="G47" s="17" t="s">
        <v>333</v>
      </c>
      <c r="H47" s="17" t="s">
        <v>334</v>
      </c>
      <c r="I47" s="17" t="s">
        <v>335</v>
      </c>
      <c r="J47" s="17" t="s">
        <v>336</v>
      </c>
      <c r="K47" s="17"/>
    </row>
    <row r="48" spans="1:12" x14ac:dyDescent="0.25">
      <c r="A48" s="40" t="s">
        <v>349</v>
      </c>
      <c r="B48" s="48"/>
      <c r="C48" s="48">
        <v>419206</v>
      </c>
      <c r="D48" s="48">
        <v>543147</v>
      </c>
      <c r="E48" s="48">
        <v>736937</v>
      </c>
      <c r="F48" s="48">
        <v>870672</v>
      </c>
      <c r="G48" s="48">
        <v>992840</v>
      </c>
      <c r="H48" s="48">
        <v>1134292</v>
      </c>
      <c r="I48" s="48">
        <v>1296917</v>
      </c>
      <c r="J48" s="48">
        <v>1538390</v>
      </c>
      <c r="K48" s="48"/>
      <c r="L48" s="17"/>
    </row>
    <row r="49" spans="1:12" x14ac:dyDescent="0.25">
      <c r="A49" s="49" t="s">
        <v>350</v>
      </c>
      <c r="B49" s="50"/>
      <c r="C49" s="41">
        <v>146575</v>
      </c>
      <c r="D49" s="41">
        <v>227095</v>
      </c>
      <c r="E49" s="41">
        <v>345179</v>
      </c>
      <c r="F49" s="41">
        <v>435082</v>
      </c>
      <c r="G49" s="41">
        <v>549558</v>
      </c>
      <c r="H49" s="41">
        <v>674008</v>
      </c>
      <c r="I49" s="41">
        <v>770244</v>
      </c>
      <c r="J49" s="41">
        <v>909043</v>
      </c>
      <c r="K49" s="41"/>
      <c r="L49" s="48"/>
    </row>
    <row r="50" spans="1:12" x14ac:dyDescent="0.25">
      <c r="A50" s="40" t="s">
        <v>351</v>
      </c>
      <c r="C50" s="43">
        <f t="shared" ref="C50:J50" si="1">C48+C49</f>
        <v>565781</v>
      </c>
      <c r="D50" s="43">
        <f t="shared" si="1"/>
        <v>770242</v>
      </c>
      <c r="E50" s="43">
        <f t="shared" si="1"/>
        <v>1082116</v>
      </c>
      <c r="F50" s="43">
        <f t="shared" si="1"/>
        <v>1305754</v>
      </c>
      <c r="G50" s="43">
        <f t="shared" si="1"/>
        <v>1542398</v>
      </c>
      <c r="H50" s="43">
        <f t="shared" si="1"/>
        <v>1808300</v>
      </c>
      <c r="I50" s="43">
        <f t="shared" si="1"/>
        <v>2067161</v>
      </c>
      <c r="J50" s="43">
        <f t="shared" si="1"/>
        <v>2447433</v>
      </c>
      <c r="K50" s="43"/>
      <c r="L50" s="51"/>
    </row>
    <row r="60" spans="1:12" s="39" customFormat="1" x14ac:dyDescent="0.25">
      <c r="L60" s="47"/>
    </row>
    <row r="126" spans="1:12" x14ac:dyDescent="0.25">
      <c r="A126" s="47" t="s">
        <v>352</v>
      </c>
    </row>
    <row r="127" spans="1:12" x14ac:dyDescent="0.25">
      <c r="A127" s="52" t="s">
        <v>353</v>
      </c>
      <c r="C127" s="17" t="s">
        <v>354</v>
      </c>
      <c r="D127" s="17" t="s">
        <v>355</v>
      </c>
      <c r="E127" s="17" t="s">
        <v>356</v>
      </c>
      <c r="F127" s="17" t="s">
        <v>357</v>
      </c>
      <c r="G127" s="17" t="s">
        <v>358</v>
      </c>
      <c r="H127" s="17" t="s">
        <v>359</v>
      </c>
      <c r="I127" s="17" t="s">
        <v>360</v>
      </c>
      <c r="J127" s="17" t="s">
        <v>361</v>
      </c>
      <c r="K127" s="17"/>
      <c r="L127" s="17" t="s">
        <v>362</v>
      </c>
    </row>
    <row r="128" spans="1:12" x14ac:dyDescent="0.25">
      <c r="A128" s="52" t="s">
        <v>363</v>
      </c>
      <c r="B128" s="48"/>
      <c r="C128" s="53">
        <v>10</v>
      </c>
      <c r="D128" s="53">
        <v>14</v>
      </c>
      <c r="E128" s="53">
        <v>12</v>
      </c>
      <c r="F128" s="53">
        <v>15</v>
      </c>
      <c r="G128" s="53">
        <v>11</v>
      </c>
      <c r="H128" s="53">
        <v>26</v>
      </c>
      <c r="I128" s="53">
        <v>15</v>
      </c>
      <c r="J128" s="53">
        <v>14</v>
      </c>
      <c r="K128" s="53"/>
      <c r="L128" s="53">
        <v>17</v>
      </c>
    </row>
  </sheetData>
  <pageMargins left="0.7" right="0.7" top="0.75" bottom="0.75" header="0.3" footer="0.3"/>
  <pageSetup scale="26"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C74"/>
  <sheetViews>
    <sheetView topLeftCell="A37" zoomScale="60" zoomScaleNormal="60" workbookViewId="0">
      <selection activeCell="A59" sqref="A59:Q67"/>
    </sheetView>
  </sheetViews>
  <sheetFormatPr defaultColWidth="8.85546875" defaultRowHeight="15" x14ac:dyDescent="0.25"/>
  <cols>
    <col min="1" max="1" width="24.85546875" style="78" bestFit="1" customWidth="1"/>
    <col min="2" max="2" width="13.28515625" style="79" bestFit="1" customWidth="1"/>
    <col min="3" max="4" width="10.42578125" style="79" bestFit="1" customWidth="1"/>
    <col min="5" max="5" width="14.7109375" style="79" bestFit="1" customWidth="1"/>
    <col min="6" max="6" width="10.42578125" style="79" bestFit="1" customWidth="1"/>
    <col min="7" max="7" width="10.85546875" style="79" bestFit="1" customWidth="1"/>
    <col min="8" max="8" width="10.42578125" style="79" bestFit="1" customWidth="1"/>
    <col min="9" max="9" width="12" style="79" bestFit="1" customWidth="1"/>
    <col min="10" max="10" width="10.85546875" style="79" bestFit="1" customWidth="1"/>
    <col min="11" max="11" width="10.42578125" style="79" bestFit="1" customWidth="1"/>
    <col min="12" max="14" width="10.85546875" style="79" bestFit="1" customWidth="1"/>
    <col min="15" max="15" width="19.85546875" style="79" bestFit="1" customWidth="1"/>
    <col min="16" max="16" width="23.7109375" style="79" bestFit="1" customWidth="1"/>
    <col min="17" max="17" width="18.42578125" style="79" bestFit="1" customWidth="1"/>
    <col min="18" max="18" width="13.28515625" style="79" bestFit="1" customWidth="1"/>
    <col min="19" max="19" width="11.85546875" style="79" bestFit="1" customWidth="1"/>
    <col min="20" max="20" width="10.42578125" style="79" bestFit="1" customWidth="1"/>
    <col min="21" max="21" width="11.5703125" style="79" bestFit="1" customWidth="1"/>
    <col min="22" max="27" width="10.42578125" style="79" bestFit="1" customWidth="1"/>
    <col min="28" max="29" width="10.85546875" style="79" bestFit="1" customWidth="1"/>
    <col min="30" max="32" width="10.42578125" style="79" bestFit="1" customWidth="1"/>
    <col min="33" max="33" width="11.5703125" style="79" bestFit="1" customWidth="1"/>
    <col min="34" max="38" width="10.42578125" style="79" bestFit="1" customWidth="1"/>
    <col min="39" max="39" width="12" style="79" bestFit="1" customWidth="1"/>
    <col min="40" max="40" width="10.42578125" style="79" bestFit="1" customWidth="1"/>
    <col min="41" max="41" width="47" style="79" customWidth="1"/>
    <col min="42" max="42" width="40.5703125" style="79" customWidth="1"/>
    <col min="43" max="43" width="19.7109375" style="120" customWidth="1"/>
    <col min="44" max="44" width="35" style="79" bestFit="1" customWidth="1"/>
    <col min="45" max="45" width="45.28515625" style="79" customWidth="1"/>
    <col min="46" max="55" width="8.85546875" style="80"/>
    <col min="56" max="16384" width="8.85546875" style="79"/>
  </cols>
  <sheetData>
    <row r="1" spans="1:55" ht="15.75" thickBot="1" x14ac:dyDescent="0.3">
      <c r="A1" s="115" t="s">
        <v>370</v>
      </c>
      <c r="B1" s="117">
        <v>42856</v>
      </c>
      <c r="C1" s="117">
        <v>42887</v>
      </c>
      <c r="D1" s="117">
        <v>42917</v>
      </c>
      <c r="E1" s="117">
        <v>42948</v>
      </c>
      <c r="F1" s="117">
        <v>42979</v>
      </c>
      <c r="G1" s="117">
        <v>43009</v>
      </c>
      <c r="H1" s="117">
        <v>43040</v>
      </c>
      <c r="I1" s="118">
        <v>43070</v>
      </c>
      <c r="J1" s="116">
        <v>43101</v>
      </c>
      <c r="K1" s="117">
        <v>43132</v>
      </c>
      <c r="L1" s="117">
        <v>43160</v>
      </c>
      <c r="M1" s="117">
        <v>43191</v>
      </c>
      <c r="N1" s="117">
        <v>43221</v>
      </c>
      <c r="O1" s="117">
        <v>43252</v>
      </c>
      <c r="P1" s="117">
        <v>43282</v>
      </c>
      <c r="Q1" s="117">
        <v>43313</v>
      </c>
      <c r="R1" s="117">
        <v>43344</v>
      </c>
      <c r="S1" s="117">
        <v>43374</v>
      </c>
      <c r="T1" s="117">
        <v>43405</v>
      </c>
      <c r="U1" s="118">
        <v>43435</v>
      </c>
      <c r="V1" s="116">
        <v>43466</v>
      </c>
      <c r="W1" s="117">
        <v>43497</v>
      </c>
      <c r="X1" s="117">
        <v>43525</v>
      </c>
      <c r="Y1" s="117">
        <v>43556</v>
      </c>
      <c r="Z1" s="117">
        <v>43586</v>
      </c>
      <c r="AA1" s="117">
        <v>43617</v>
      </c>
      <c r="AB1" s="117">
        <v>43647</v>
      </c>
      <c r="AC1" s="117">
        <v>43678</v>
      </c>
      <c r="AD1" s="117">
        <v>43709</v>
      </c>
      <c r="AE1" s="117">
        <v>43739</v>
      </c>
      <c r="AF1" s="117">
        <v>43770</v>
      </c>
      <c r="AG1" s="118">
        <v>43800</v>
      </c>
      <c r="AH1" s="116">
        <v>43831</v>
      </c>
      <c r="AI1" s="117">
        <v>43862</v>
      </c>
      <c r="AJ1" s="117">
        <v>43891</v>
      </c>
      <c r="AK1" s="117">
        <v>43922</v>
      </c>
      <c r="AL1" s="117">
        <v>43952</v>
      </c>
      <c r="AM1" s="117">
        <v>43983</v>
      </c>
      <c r="AN1" s="120"/>
      <c r="AP1" s="80"/>
      <c r="AQ1" s="80"/>
      <c r="AR1" s="80"/>
      <c r="AS1" s="80"/>
      <c r="AZ1" s="79"/>
      <c r="BA1" s="79"/>
      <c r="BB1" s="79"/>
      <c r="BC1" s="79"/>
    </row>
    <row r="2" spans="1:55" s="81" customFormat="1" x14ac:dyDescent="0.25">
      <c r="A2" s="21" t="s">
        <v>290</v>
      </c>
      <c r="B2" s="73"/>
      <c r="C2" s="73"/>
      <c r="D2" s="73"/>
      <c r="E2" s="73"/>
      <c r="F2" s="73"/>
      <c r="G2" s="73"/>
      <c r="H2" s="73"/>
      <c r="I2" s="72"/>
      <c r="J2" s="121"/>
      <c r="K2" s="73"/>
      <c r="L2" s="73"/>
      <c r="M2" s="73"/>
      <c r="N2" s="73"/>
      <c r="O2" s="73"/>
      <c r="P2" s="73"/>
      <c r="Q2" s="73"/>
      <c r="R2" s="73"/>
      <c r="S2" s="73"/>
      <c r="T2" s="73"/>
      <c r="U2" s="72"/>
      <c r="V2" s="121"/>
      <c r="W2" s="73"/>
      <c r="X2" s="73"/>
      <c r="Y2" s="73"/>
      <c r="Z2" s="73"/>
      <c r="AA2" s="73"/>
      <c r="AB2" s="73"/>
      <c r="AC2" s="73"/>
      <c r="AD2" s="73"/>
      <c r="AE2" s="73"/>
      <c r="AF2" s="73"/>
      <c r="AG2" s="72"/>
      <c r="AH2" s="121"/>
      <c r="AI2" s="73"/>
      <c r="AJ2" s="73"/>
      <c r="AK2" s="73"/>
      <c r="AL2" s="73"/>
      <c r="AM2" s="72"/>
      <c r="AN2" s="122"/>
      <c r="AO2" s="80"/>
      <c r="AP2" s="80"/>
      <c r="AQ2" s="80"/>
      <c r="AR2" s="80"/>
      <c r="AS2" s="80"/>
      <c r="AT2" s="80"/>
      <c r="AU2" s="80"/>
      <c r="AV2" s="80"/>
      <c r="AW2" s="80"/>
      <c r="AX2" s="80"/>
      <c r="AY2" s="80"/>
    </row>
    <row r="3" spans="1:55" x14ac:dyDescent="0.25">
      <c r="A3" s="115" t="s">
        <v>291</v>
      </c>
      <c r="B3" s="77"/>
      <c r="C3" s="77"/>
      <c r="D3" s="75"/>
      <c r="E3" s="75"/>
      <c r="F3" s="75"/>
      <c r="G3" s="75"/>
      <c r="H3" s="75"/>
      <c r="I3" s="76"/>
      <c r="J3" s="124"/>
      <c r="K3" s="75"/>
      <c r="L3" s="75"/>
      <c r="M3" s="75"/>
      <c r="N3" s="75"/>
      <c r="O3" s="75"/>
      <c r="P3" s="75"/>
      <c r="Q3" s="75"/>
      <c r="R3" s="75"/>
      <c r="S3" s="75"/>
      <c r="T3" s="75"/>
      <c r="U3" s="76"/>
      <c r="V3" s="124"/>
      <c r="W3" s="75"/>
      <c r="X3" s="75"/>
      <c r="Y3" s="75"/>
      <c r="Z3" s="75"/>
      <c r="AA3" s="75"/>
      <c r="AB3" s="75"/>
      <c r="AC3" s="75"/>
      <c r="AD3" s="75"/>
      <c r="AE3" s="75"/>
      <c r="AF3" s="75"/>
      <c r="AG3" s="76"/>
      <c r="AH3" s="124"/>
      <c r="AI3" s="75"/>
      <c r="AJ3" s="75"/>
      <c r="AK3" s="75"/>
      <c r="AL3" s="75"/>
      <c r="AM3" s="76"/>
      <c r="AN3" s="120"/>
      <c r="AP3" s="80"/>
      <c r="AQ3" s="80"/>
      <c r="AR3" s="80"/>
      <c r="AS3" s="80"/>
      <c r="AZ3" s="79"/>
      <c r="BA3" s="79"/>
      <c r="BB3" s="79"/>
      <c r="BC3" s="79"/>
    </row>
    <row r="4" spans="1:55" x14ac:dyDescent="0.25">
      <c r="A4" s="115" t="s">
        <v>292</v>
      </c>
      <c r="B4" s="75"/>
      <c r="C4" s="77"/>
      <c r="D4" s="77"/>
      <c r="E4" s="77"/>
      <c r="F4" s="77"/>
      <c r="G4" s="77"/>
      <c r="H4" s="77"/>
      <c r="I4" s="125"/>
      <c r="J4" s="123"/>
      <c r="K4" s="77"/>
      <c r="L4" s="77"/>
      <c r="M4" s="77"/>
      <c r="N4" s="77"/>
      <c r="O4" s="75"/>
      <c r="P4" s="75"/>
      <c r="Q4" s="75"/>
      <c r="R4" s="75"/>
      <c r="S4" s="75"/>
      <c r="T4" s="75"/>
      <c r="U4" s="76"/>
      <c r="V4" s="124"/>
      <c r="W4" s="75"/>
      <c r="X4" s="75"/>
      <c r="Y4" s="75"/>
      <c r="Z4" s="75"/>
      <c r="AA4" s="75"/>
      <c r="AB4" s="75"/>
      <c r="AC4" s="75"/>
      <c r="AD4" s="75"/>
      <c r="AE4" s="75"/>
      <c r="AF4" s="75"/>
      <c r="AG4" s="76"/>
      <c r="AH4" s="124"/>
      <c r="AI4" s="75"/>
      <c r="AJ4" s="75"/>
      <c r="AK4" s="75"/>
      <c r="AL4" s="75"/>
      <c r="AM4" s="76"/>
      <c r="AN4" s="120"/>
      <c r="AP4" s="80"/>
      <c r="AQ4" s="80"/>
      <c r="AR4" s="80"/>
      <c r="AS4" s="80"/>
      <c r="AZ4" s="79"/>
      <c r="BA4" s="79"/>
      <c r="BB4" s="79"/>
      <c r="BC4" s="79"/>
    </row>
    <row r="5" spans="1:55" x14ac:dyDescent="0.25">
      <c r="A5" s="115" t="s">
        <v>293</v>
      </c>
      <c r="B5" s="77"/>
      <c r="C5" s="77"/>
      <c r="D5" s="77"/>
      <c r="E5" s="77"/>
      <c r="F5" s="77"/>
      <c r="G5" s="75"/>
      <c r="H5" s="75"/>
      <c r="I5" s="76"/>
      <c r="J5" s="124"/>
      <c r="K5" s="75"/>
      <c r="L5" s="75"/>
      <c r="M5" s="75"/>
      <c r="N5" s="75"/>
      <c r="O5" s="75"/>
      <c r="P5" s="75"/>
      <c r="Q5" s="75"/>
      <c r="R5" s="75"/>
      <c r="S5" s="75"/>
      <c r="T5" s="75"/>
      <c r="U5" s="76"/>
      <c r="V5" s="124"/>
      <c r="W5" s="75"/>
      <c r="X5" s="75"/>
      <c r="Y5" s="75"/>
      <c r="Z5" s="75"/>
      <c r="AA5" s="75"/>
      <c r="AB5" s="75"/>
      <c r="AC5" s="75"/>
      <c r="AD5" s="75"/>
      <c r="AE5" s="75"/>
      <c r="AF5" s="75"/>
      <c r="AG5" s="76"/>
      <c r="AH5" s="124"/>
      <c r="AI5" s="75"/>
      <c r="AJ5" s="75"/>
      <c r="AK5" s="75"/>
      <c r="AL5" s="75"/>
      <c r="AM5" s="76"/>
      <c r="AN5" s="120"/>
      <c r="AP5" s="80"/>
      <c r="AQ5" s="80"/>
      <c r="AR5" s="80"/>
      <c r="AS5" s="80"/>
      <c r="AZ5" s="79"/>
      <c r="BA5" s="79"/>
      <c r="BB5" s="79"/>
      <c r="BC5" s="79"/>
    </row>
    <row r="6" spans="1:55" x14ac:dyDescent="0.25">
      <c r="A6" s="115" t="s">
        <v>294</v>
      </c>
      <c r="B6" s="75"/>
      <c r="C6" s="75"/>
      <c r="D6" s="75"/>
      <c r="E6" s="77"/>
      <c r="F6" s="75"/>
      <c r="G6" s="75"/>
      <c r="H6" s="75"/>
      <c r="I6" s="76"/>
      <c r="J6" s="124"/>
      <c r="K6" s="75"/>
      <c r="L6" s="75"/>
      <c r="M6" s="75"/>
      <c r="N6" s="75"/>
      <c r="O6" s="75"/>
      <c r="P6" s="75"/>
      <c r="Q6" s="75"/>
      <c r="R6" s="75"/>
      <c r="S6" s="75"/>
      <c r="T6" s="75"/>
      <c r="U6" s="76"/>
      <c r="V6" s="124"/>
      <c r="W6" s="75"/>
      <c r="X6" s="75"/>
      <c r="Y6" s="75"/>
      <c r="Z6" s="75"/>
      <c r="AA6" s="75"/>
      <c r="AB6" s="75"/>
      <c r="AC6" s="75"/>
      <c r="AD6" s="75"/>
      <c r="AE6" s="75"/>
      <c r="AF6" s="75"/>
      <c r="AG6" s="76"/>
      <c r="AH6" s="124"/>
      <c r="AI6" s="75"/>
      <c r="AJ6" s="75"/>
      <c r="AK6" s="75"/>
      <c r="AL6" s="75"/>
      <c r="AM6" s="76"/>
      <c r="AN6" s="120"/>
      <c r="AP6" s="80"/>
      <c r="AQ6" s="80"/>
      <c r="AR6" s="80"/>
      <c r="AS6" s="80"/>
      <c r="AZ6" s="79"/>
      <c r="BA6" s="79"/>
      <c r="BB6" s="79"/>
      <c r="BC6" s="79"/>
    </row>
    <row r="7" spans="1:55" x14ac:dyDescent="0.25">
      <c r="A7" s="115" t="s">
        <v>295</v>
      </c>
      <c r="B7" s="77"/>
      <c r="C7" s="77"/>
      <c r="D7" s="77"/>
      <c r="E7" s="77"/>
      <c r="F7" s="77"/>
      <c r="G7" s="77"/>
      <c r="H7" s="75"/>
      <c r="I7" s="76"/>
      <c r="J7" s="124"/>
      <c r="K7" s="75"/>
      <c r="L7" s="75"/>
      <c r="M7" s="75"/>
      <c r="N7" s="75"/>
      <c r="O7" s="75"/>
      <c r="P7" s="75"/>
      <c r="Q7" s="75"/>
      <c r="R7" s="75"/>
      <c r="S7" s="75"/>
      <c r="T7" s="75"/>
      <c r="U7" s="76"/>
      <c r="V7" s="124"/>
      <c r="W7" s="75"/>
      <c r="X7" s="75"/>
      <c r="Y7" s="75"/>
      <c r="Z7" s="75"/>
      <c r="AA7" s="75"/>
      <c r="AB7" s="75"/>
      <c r="AC7" s="75"/>
      <c r="AD7" s="75"/>
      <c r="AE7" s="75"/>
      <c r="AF7" s="75"/>
      <c r="AG7" s="76"/>
      <c r="AH7" s="124"/>
      <c r="AI7" s="75"/>
      <c r="AJ7" s="75"/>
      <c r="AK7" s="75"/>
      <c r="AL7" s="75"/>
      <c r="AM7" s="76"/>
      <c r="AN7" s="120"/>
      <c r="AP7" s="80"/>
      <c r="AQ7" s="80"/>
      <c r="AR7" s="80"/>
      <c r="AS7" s="80"/>
      <c r="AZ7" s="79"/>
      <c r="BA7" s="79"/>
      <c r="BB7" s="79"/>
      <c r="BC7" s="79"/>
    </row>
    <row r="8" spans="1:55" x14ac:dyDescent="0.25">
      <c r="A8" s="115" t="s">
        <v>296</v>
      </c>
      <c r="B8" s="75"/>
      <c r="C8" s="75"/>
      <c r="D8" s="75"/>
      <c r="E8" s="75"/>
      <c r="F8" s="77"/>
      <c r="G8" s="75"/>
      <c r="H8" s="75"/>
      <c r="I8" s="76"/>
      <c r="J8" s="124"/>
      <c r="K8" s="75"/>
      <c r="L8" s="75"/>
      <c r="M8" s="75"/>
      <c r="N8" s="75"/>
      <c r="O8" s="75"/>
      <c r="P8" s="75"/>
      <c r="Q8" s="75"/>
      <c r="R8" s="75"/>
      <c r="S8" s="75"/>
      <c r="T8" s="75"/>
      <c r="U8" s="76"/>
      <c r="V8" s="124"/>
      <c r="W8" s="75"/>
      <c r="X8" s="75"/>
      <c r="Y8" s="75"/>
      <c r="Z8" s="75"/>
      <c r="AA8" s="75"/>
      <c r="AB8" s="75"/>
      <c r="AC8" s="75"/>
      <c r="AD8" s="75"/>
      <c r="AE8" s="75"/>
      <c r="AF8" s="75"/>
      <c r="AG8" s="76"/>
      <c r="AH8" s="124"/>
      <c r="AI8" s="75"/>
      <c r="AJ8" s="75"/>
      <c r="AK8" s="75"/>
      <c r="AL8" s="75"/>
      <c r="AM8" s="76"/>
      <c r="AN8" s="120"/>
      <c r="AP8" s="80"/>
      <c r="AQ8" s="80"/>
      <c r="AR8" s="80"/>
      <c r="AS8" s="80"/>
      <c r="AZ8" s="79"/>
      <c r="BA8" s="79"/>
      <c r="BB8" s="79"/>
      <c r="BC8" s="79"/>
    </row>
    <row r="9" spans="1:55" x14ac:dyDescent="0.25">
      <c r="A9" s="115" t="s">
        <v>297</v>
      </c>
      <c r="B9" s="75"/>
      <c r="C9" s="75"/>
      <c r="D9" s="77"/>
      <c r="E9" s="77"/>
      <c r="F9" s="77"/>
      <c r="G9" s="77"/>
      <c r="H9" s="77"/>
      <c r="I9" s="125"/>
      <c r="J9" s="123"/>
      <c r="K9" s="77"/>
      <c r="L9" s="77"/>
      <c r="M9" s="77"/>
      <c r="N9" s="75"/>
      <c r="O9" s="75"/>
      <c r="P9" s="75"/>
      <c r="Q9" s="75"/>
      <c r="R9" s="75"/>
      <c r="S9" s="75"/>
      <c r="T9" s="75"/>
      <c r="U9" s="76"/>
      <c r="V9" s="124"/>
      <c r="W9" s="75"/>
      <c r="X9" s="75"/>
      <c r="Y9" s="75"/>
      <c r="Z9" s="75"/>
      <c r="AA9" s="75"/>
      <c r="AB9" s="75"/>
      <c r="AC9" s="75"/>
      <c r="AD9" s="75"/>
      <c r="AE9" s="75"/>
      <c r="AF9" s="75"/>
      <c r="AG9" s="76"/>
      <c r="AH9" s="124"/>
      <c r="AI9" s="75"/>
      <c r="AJ9" s="75"/>
      <c r="AK9" s="75"/>
      <c r="AL9" s="75"/>
      <c r="AM9" s="76"/>
      <c r="AN9" s="120"/>
      <c r="AQ9" s="80"/>
      <c r="AR9" s="80"/>
      <c r="AS9" s="80"/>
      <c r="BA9" s="79"/>
      <c r="BB9" s="79"/>
      <c r="BC9" s="79"/>
    </row>
    <row r="10" spans="1:55" x14ac:dyDescent="0.25">
      <c r="A10" s="115" t="s">
        <v>298</v>
      </c>
      <c r="B10" s="75"/>
      <c r="C10" s="75"/>
      <c r="D10" s="75"/>
      <c r="E10" s="75"/>
      <c r="F10" s="75"/>
      <c r="G10" s="75"/>
      <c r="H10" s="75"/>
      <c r="I10" s="76"/>
      <c r="J10" s="124"/>
      <c r="K10" s="77"/>
      <c r="L10" s="77"/>
      <c r="M10" s="77"/>
      <c r="N10" s="77"/>
      <c r="O10" s="77"/>
      <c r="P10" s="77"/>
      <c r="Q10" s="77"/>
      <c r="R10" s="77"/>
      <c r="S10" s="77"/>
      <c r="T10" s="75"/>
      <c r="U10" s="76"/>
      <c r="V10" s="124"/>
      <c r="W10" s="75"/>
      <c r="X10" s="75"/>
      <c r="Y10" s="75"/>
      <c r="Z10" s="75"/>
      <c r="AA10" s="75"/>
      <c r="AB10" s="75"/>
      <c r="AC10" s="75"/>
      <c r="AD10" s="75"/>
      <c r="AE10" s="75"/>
      <c r="AF10" s="75"/>
      <c r="AG10" s="76"/>
      <c r="AH10" s="124"/>
      <c r="AI10" s="75"/>
      <c r="AJ10" s="75"/>
      <c r="AK10" s="75"/>
      <c r="AL10" s="75"/>
      <c r="AM10" s="76"/>
      <c r="AN10" s="120"/>
      <c r="AQ10" s="80"/>
      <c r="AR10" s="80"/>
      <c r="AS10" s="80"/>
      <c r="BA10" s="79"/>
      <c r="BB10" s="79"/>
      <c r="BC10" s="79"/>
    </row>
    <row r="11" spans="1:55" x14ac:dyDescent="0.25">
      <c r="A11" s="115" t="s">
        <v>299</v>
      </c>
      <c r="B11" s="75"/>
      <c r="C11" s="75"/>
      <c r="D11" s="75"/>
      <c r="E11" s="75"/>
      <c r="F11" s="75"/>
      <c r="G11" s="75"/>
      <c r="H11" s="75"/>
      <c r="I11" s="76"/>
      <c r="J11" s="124"/>
      <c r="K11" s="75"/>
      <c r="L11" s="75"/>
      <c r="M11" s="75"/>
      <c r="N11" s="75"/>
      <c r="O11" s="75"/>
      <c r="P11" s="75"/>
      <c r="Q11" s="75"/>
      <c r="R11" s="77"/>
      <c r="S11" s="77"/>
      <c r="T11" s="77"/>
      <c r="U11" s="125"/>
      <c r="V11" s="124"/>
      <c r="W11" s="75"/>
      <c r="X11" s="75"/>
      <c r="Y11" s="75"/>
      <c r="Z11" s="75"/>
      <c r="AA11" s="75"/>
      <c r="AB11" s="75"/>
      <c r="AC11" s="75"/>
      <c r="AD11" s="75"/>
      <c r="AE11" s="75"/>
      <c r="AF11" s="75"/>
      <c r="AG11" s="76"/>
      <c r="AH11" s="124"/>
      <c r="AI11" s="75"/>
      <c r="AJ11" s="75"/>
      <c r="AK11" s="75"/>
      <c r="AL11" s="75"/>
      <c r="AM11" s="76"/>
      <c r="AN11" s="120"/>
      <c r="AQ11" s="80"/>
      <c r="AR11" s="80"/>
      <c r="AS11" s="80"/>
      <c r="BA11" s="79"/>
      <c r="BB11" s="79"/>
      <c r="BC11" s="79"/>
    </row>
    <row r="12" spans="1:55" x14ac:dyDescent="0.25">
      <c r="A12" s="115" t="s">
        <v>300</v>
      </c>
      <c r="B12" s="75"/>
      <c r="C12" s="75"/>
      <c r="D12" s="75"/>
      <c r="E12" s="75"/>
      <c r="F12" s="75"/>
      <c r="G12" s="75"/>
      <c r="H12" s="75"/>
      <c r="I12" s="76"/>
      <c r="J12" s="124"/>
      <c r="K12" s="75"/>
      <c r="L12" s="75"/>
      <c r="M12" s="75"/>
      <c r="N12" s="75"/>
      <c r="O12" s="75"/>
      <c r="P12" s="75"/>
      <c r="Q12" s="75"/>
      <c r="R12" s="75"/>
      <c r="S12" s="75"/>
      <c r="T12" s="75"/>
      <c r="U12" s="76"/>
      <c r="V12" s="126"/>
      <c r="W12" s="127"/>
      <c r="X12" s="127"/>
      <c r="Y12" s="127"/>
      <c r="Z12" s="127"/>
      <c r="AA12" s="127"/>
      <c r="AB12" s="75"/>
      <c r="AC12" s="75"/>
      <c r="AD12" s="75"/>
      <c r="AE12" s="75"/>
      <c r="AF12" s="75"/>
      <c r="AG12" s="76"/>
      <c r="AH12" s="124"/>
      <c r="AI12" s="75"/>
      <c r="AJ12" s="75"/>
      <c r="AK12" s="75"/>
      <c r="AL12" s="75"/>
      <c r="AM12" s="76"/>
      <c r="AN12" s="120"/>
      <c r="AQ12" s="80"/>
      <c r="AR12" s="80"/>
      <c r="AS12" s="80"/>
      <c r="BA12" s="79"/>
      <c r="BB12" s="79"/>
      <c r="BC12" s="79"/>
    </row>
    <row r="13" spans="1:55" x14ac:dyDescent="0.25">
      <c r="A13" s="115" t="s">
        <v>301</v>
      </c>
      <c r="B13" s="75"/>
      <c r="C13" s="75"/>
      <c r="D13" s="75"/>
      <c r="E13" s="75"/>
      <c r="F13" s="75"/>
      <c r="G13" s="75"/>
      <c r="H13" s="75"/>
      <c r="I13" s="76"/>
      <c r="J13" s="124"/>
      <c r="K13" s="75"/>
      <c r="L13" s="75"/>
      <c r="M13" s="75"/>
      <c r="N13" s="75"/>
      <c r="O13" s="75"/>
      <c r="P13" s="75"/>
      <c r="Q13" s="75"/>
      <c r="R13" s="75"/>
      <c r="S13" s="75"/>
      <c r="T13" s="75"/>
      <c r="U13" s="76"/>
      <c r="V13" s="124"/>
      <c r="W13" s="75"/>
      <c r="X13" s="75"/>
      <c r="Y13" s="75"/>
      <c r="Z13" s="75"/>
      <c r="AA13" s="75"/>
      <c r="AB13" s="127"/>
      <c r="AC13" s="75"/>
      <c r="AD13" s="75"/>
      <c r="AE13" s="75"/>
      <c r="AF13" s="75"/>
      <c r="AG13" s="76"/>
      <c r="AH13" s="124"/>
      <c r="AI13" s="75"/>
      <c r="AJ13" s="75"/>
      <c r="AK13" s="75"/>
      <c r="AL13" s="75"/>
      <c r="AM13" s="76"/>
      <c r="AQ13" s="80"/>
      <c r="AR13" s="80"/>
      <c r="AS13" s="80"/>
      <c r="BA13" s="79"/>
      <c r="BB13" s="79"/>
      <c r="BC13" s="79"/>
    </row>
    <row r="14" spans="1:55" x14ac:dyDescent="0.25">
      <c r="A14" s="115" t="s">
        <v>302</v>
      </c>
      <c r="B14" s="75"/>
      <c r="C14" s="75"/>
      <c r="D14" s="75"/>
      <c r="E14" s="75"/>
      <c r="F14" s="75"/>
      <c r="G14" s="75"/>
      <c r="H14" s="75"/>
      <c r="I14" s="76"/>
      <c r="J14" s="124"/>
      <c r="K14" s="75"/>
      <c r="L14" s="75"/>
      <c r="M14" s="75"/>
      <c r="N14" s="75"/>
      <c r="O14" s="75"/>
      <c r="P14" s="75"/>
      <c r="Q14" s="75"/>
      <c r="R14" s="75"/>
      <c r="S14" s="75"/>
      <c r="T14" s="75"/>
      <c r="U14" s="76"/>
      <c r="V14" s="124"/>
      <c r="W14" s="75"/>
      <c r="X14" s="75"/>
      <c r="Y14" s="75"/>
      <c r="Z14" s="75"/>
      <c r="AA14" s="75"/>
      <c r="AB14" s="75"/>
      <c r="AC14" s="127"/>
      <c r="AD14" s="127"/>
      <c r="AE14" s="75"/>
      <c r="AF14" s="75"/>
      <c r="AG14" s="76"/>
      <c r="AH14" s="124"/>
      <c r="AI14" s="75"/>
      <c r="AJ14" s="75"/>
      <c r="AK14" s="75"/>
      <c r="AL14" s="75"/>
      <c r="AM14" s="76"/>
      <c r="AQ14" s="80"/>
      <c r="AR14" s="80"/>
      <c r="AS14" s="80"/>
      <c r="BA14" s="79"/>
      <c r="BB14" s="79"/>
      <c r="BC14" s="79"/>
    </row>
    <row r="15" spans="1:55" ht="15.75" thickBot="1" x14ac:dyDescent="0.3">
      <c r="A15" s="128" t="s">
        <v>303</v>
      </c>
      <c r="B15" s="130"/>
      <c r="C15" s="130"/>
      <c r="D15" s="130"/>
      <c r="E15" s="130"/>
      <c r="F15" s="130"/>
      <c r="G15" s="130"/>
      <c r="H15" s="130"/>
      <c r="I15" s="131"/>
      <c r="J15" s="129"/>
      <c r="K15" s="130"/>
      <c r="L15" s="130"/>
      <c r="M15" s="130"/>
      <c r="N15" s="130"/>
      <c r="O15" s="130"/>
      <c r="P15" s="130"/>
      <c r="Q15" s="130"/>
      <c r="R15" s="130"/>
      <c r="S15" s="130"/>
      <c r="T15" s="130"/>
      <c r="U15" s="131"/>
      <c r="V15" s="129"/>
      <c r="W15" s="130"/>
      <c r="X15" s="130"/>
      <c r="Y15" s="130"/>
      <c r="Z15" s="130"/>
      <c r="AA15" s="130"/>
      <c r="AB15" s="130"/>
      <c r="AC15" s="132"/>
      <c r="AD15" s="132"/>
      <c r="AE15" s="133"/>
      <c r="AF15" s="133"/>
      <c r="AG15" s="134"/>
      <c r="AH15" s="135"/>
      <c r="AI15" s="133"/>
      <c r="AJ15" s="133"/>
      <c r="AK15" s="133"/>
      <c r="AL15" s="133"/>
      <c r="AM15" s="134"/>
      <c r="AN15" s="80"/>
      <c r="AO15" s="80"/>
      <c r="AQ15" s="80"/>
      <c r="AR15" s="80"/>
      <c r="AS15" s="80"/>
      <c r="BA15" s="79"/>
      <c r="BB15" s="79"/>
      <c r="BC15" s="79"/>
    </row>
    <row r="16" spans="1:55" s="81" customFormat="1" x14ac:dyDescent="0.25">
      <c r="A16" s="61" t="s">
        <v>304</v>
      </c>
      <c r="B16" s="73"/>
      <c r="C16" s="73"/>
      <c r="D16" s="73"/>
      <c r="E16" s="73"/>
      <c r="F16" s="73"/>
      <c r="G16" s="73"/>
      <c r="H16" s="73"/>
      <c r="I16" s="72"/>
      <c r="J16" s="121"/>
      <c r="K16" s="73"/>
      <c r="L16" s="73"/>
      <c r="M16" s="73"/>
      <c r="N16" s="73"/>
      <c r="O16" s="73"/>
      <c r="P16" s="73"/>
      <c r="Q16" s="73"/>
      <c r="R16" s="73"/>
      <c r="S16" s="73"/>
      <c r="T16" s="73"/>
      <c r="U16" s="72"/>
      <c r="V16" s="121"/>
      <c r="W16" s="73"/>
      <c r="X16" s="73"/>
      <c r="Y16" s="73"/>
      <c r="Z16" s="73"/>
      <c r="AA16" s="73"/>
      <c r="AB16" s="73"/>
      <c r="AC16" s="73"/>
      <c r="AD16" s="73"/>
      <c r="AE16" s="73"/>
      <c r="AF16" s="73"/>
      <c r="AG16" s="72"/>
      <c r="AH16" s="121"/>
      <c r="AI16" s="73"/>
      <c r="AJ16" s="73"/>
      <c r="AK16" s="73"/>
      <c r="AL16" s="73"/>
      <c r="AM16" s="73"/>
      <c r="AN16" s="80"/>
      <c r="AO16" s="80"/>
      <c r="AP16" s="80"/>
      <c r="AQ16" s="80"/>
      <c r="AR16" s="80"/>
      <c r="AS16" s="80"/>
      <c r="AT16" s="80"/>
      <c r="AU16" s="80"/>
      <c r="AV16" s="80"/>
      <c r="AW16" s="80"/>
      <c r="AX16" s="80"/>
      <c r="AY16" s="80"/>
      <c r="AZ16" s="80"/>
    </row>
    <row r="17" spans="1:55" x14ac:dyDescent="0.25">
      <c r="A17" s="74" t="s">
        <v>298</v>
      </c>
      <c r="B17" s="77"/>
      <c r="C17" s="77"/>
      <c r="D17" s="77"/>
      <c r="E17" s="75"/>
      <c r="F17" s="75"/>
      <c r="G17" s="75"/>
      <c r="H17" s="75"/>
      <c r="I17" s="76"/>
      <c r="J17" s="124"/>
      <c r="K17" s="75"/>
      <c r="L17" s="75"/>
      <c r="M17" s="75"/>
      <c r="N17" s="75"/>
      <c r="O17" s="75"/>
      <c r="P17" s="75"/>
      <c r="Q17" s="75"/>
      <c r="R17" s="75"/>
      <c r="S17" s="75"/>
      <c r="T17" s="75"/>
      <c r="U17" s="76"/>
      <c r="V17" s="124"/>
      <c r="W17" s="75"/>
      <c r="X17" s="75"/>
      <c r="Y17" s="75"/>
      <c r="Z17" s="75"/>
      <c r="AA17" s="75"/>
      <c r="AB17" s="75"/>
      <c r="AC17" s="75"/>
      <c r="AD17" s="75"/>
      <c r="AE17" s="75"/>
      <c r="AF17" s="75"/>
      <c r="AG17" s="76"/>
      <c r="AH17" s="124"/>
      <c r="AI17" s="75"/>
      <c r="AJ17" s="75"/>
      <c r="AK17" s="75"/>
      <c r="AL17" s="75"/>
      <c r="AM17" s="75"/>
      <c r="AN17" s="80"/>
      <c r="AO17" s="80"/>
      <c r="AQ17" s="80"/>
      <c r="AR17" s="80"/>
      <c r="AS17" s="80"/>
      <c r="BA17" s="79"/>
      <c r="BB17" s="79"/>
      <c r="BC17" s="79"/>
    </row>
    <row r="18" spans="1:55" x14ac:dyDescent="0.25">
      <c r="A18" s="74" t="s">
        <v>299</v>
      </c>
      <c r="B18" s="75"/>
      <c r="C18" s="77"/>
      <c r="D18" s="77"/>
      <c r="E18" s="77"/>
      <c r="F18" s="77"/>
      <c r="G18" s="75"/>
      <c r="H18" s="75"/>
      <c r="I18" s="76"/>
      <c r="J18" s="124"/>
      <c r="K18" s="75"/>
      <c r="L18" s="75"/>
      <c r="M18" s="75"/>
      <c r="N18" s="75"/>
      <c r="O18" s="75"/>
      <c r="P18" s="75"/>
      <c r="Q18" s="75"/>
      <c r="R18" s="75"/>
      <c r="S18" s="75"/>
      <c r="T18" s="75"/>
      <c r="U18" s="76"/>
      <c r="V18" s="124"/>
      <c r="W18" s="75"/>
      <c r="X18" s="75"/>
      <c r="Y18" s="75"/>
      <c r="Z18" s="75"/>
      <c r="AA18" s="75"/>
      <c r="AB18" s="75"/>
      <c r="AC18" s="75"/>
      <c r="AD18" s="75"/>
      <c r="AE18" s="75"/>
      <c r="AF18" s="75"/>
      <c r="AG18" s="76"/>
      <c r="AH18" s="124"/>
      <c r="AI18" s="75"/>
      <c r="AJ18" s="75"/>
      <c r="AK18" s="75"/>
      <c r="AL18" s="75"/>
      <c r="AM18" s="75"/>
      <c r="AN18" s="80"/>
      <c r="AO18" s="80"/>
      <c r="AQ18" s="80"/>
      <c r="AR18" s="80"/>
      <c r="AS18" s="80"/>
      <c r="BA18" s="79"/>
      <c r="BB18" s="79"/>
      <c r="BC18" s="79"/>
    </row>
    <row r="19" spans="1:55" x14ac:dyDescent="0.25">
      <c r="A19" s="74" t="s">
        <v>300</v>
      </c>
      <c r="B19" s="75"/>
      <c r="C19" s="75"/>
      <c r="D19" s="75"/>
      <c r="E19" s="75"/>
      <c r="F19" s="75"/>
      <c r="G19" s="82"/>
      <c r="H19" s="82"/>
      <c r="I19" s="136"/>
      <c r="J19" s="137"/>
      <c r="K19" s="82"/>
      <c r="L19" s="82"/>
      <c r="M19" s="75"/>
      <c r="N19" s="75"/>
      <c r="O19" s="75"/>
      <c r="P19" s="75"/>
      <c r="Q19" s="75"/>
      <c r="R19" s="75"/>
      <c r="S19" s="75"/>
      <c r="T19" s="75"/>
      <c r="U19" s="76"/>
      <c r="V19" s="124"/>
      <c r="W19" s="75"/>
      <c r="X19" s="75"/>
      <c r="Y19" s="75"/>
      <c r="Z19" s="75"/>
      <c r="AA19" s="75"/>
      <c r="AB19" s="75"/>
      <c r="AC19" s="75"/>
      <c r="AD19" s="75"/>
      <c r="AE19" s="75"/>
      <c r="AF19" s="75"/>
      <c r="AG19" s="76"/>
      <c r="AH19" s="124"/>
      <c r="AI19" s="75"/>
      <c r="AJ19" s="75"/>
      <c r="AK19" s="75"/>
      <c r="AL19" s="75"/>
      <c r="AM19" s="75"/>
      <c r="AN19" s="80"/>
      <c r="AO19" s="80"/>
      <c r="AQ19" s="80"/>
      <c r="AR19" s="80"/>
      <c r="AS19" s="80"/>
      <c r="BA19" s="79"/>
      <c r="BB19" s="79"/>
      <c r="BC19" s="79"/>
    </row>
    <row r="20" spans="1:55" x14ac:dyDescent="0.25">
      <c r="A20" s="74" t="s">
        <v>301</v>
      </c>
      <c r="B20" s="75"/>
      <c r="C20" s="75"/>
      <c r="D20" s="75"/>
      <c r="E20" s="75"/>
      <c r="F20" s="75"/>
      <c r="G20" s="75"/>
      <c r="H20" s="75"/>
      <c r="I20" s="76"/>
      <c r="J20" s="124"/>
      <c r="K20" s="75"/>
      <c r="L20" s="75"/>
      <c r="M20" s="82"/>
      <c r="N20" s="75"/>
      <c r="O20" s="75"/>
      <c r="P20" s="75"/>
      <c r="Q20" s="75"/>
      <c r="R20" s="75"/>
      <c r="S20" s="75"/>
      <c r="T20" s="75"/>
      <c r="U20" s="76"/>
      <c r="V20" s="124"/>
      <c r="W20" s="75"/>
      <c r="X20" s="75"/>
      <c r="Y20" s="75"/>
      <c r="Z20" s="75"/>
      <c r="AA20" s="75"/>
      <c r="AB20" s="75"/>
      <c r="AC20" s="75"/>
      <c r="AD20" s="75"/>
      <c r="AE20" s="75"/>
      <c r="AF20" s="75"/>
      <c r="AG20" s="76"/>
      <c r="AH20" s="124"/>
      <c r="AI20" s="75"/>
      <c r="AJ20" s="75"/>
      <c r="AK20" s="75"/>
      <c r="AL20" s="75"/>
      <c r="AM20" s="75"/>
      <c r="AN20" s="80"/>
      <c r="AO20" s="80"/>
      <c r="AQ20" s="80"/>
      <c r="AR20" s="80"/>
      <c r="AS20" s="80"/>
      <c r="BA20" s="79"/>
      <c r="BB20" s="79"/>
      <c r="BC20" s="79"/>
    </row>
    <row r="21" spans="1:55" x14ac:dyDescent="0.25">
      <c r="A21" s="74" t="s">
        <v>302</v>
      </c>
      <c r="B21" s="75"/>
      <c r="C21" s="75"/>
      <c r="D21" s="75"/>
      <c r="E21" s="75"/>
      <c r="F21" s="75"/>
      <c r="G21" s="75"/>
      <c r="H21" s="75"/>
      <c r="I21" s="76"/>
      <c r="J21" s="124"/>
      <c r="K21" s="75"/>
      <c r="L21" s="75"/>
      <c r="M21" s="75"/>
      <c r="N21" s="82"/>
      <c r="O21" s="82"/>
      <c r="P21" s="75"/>
      <c r="Q21" s="75"/>
      <c r="R21" s="75"/>
      <c r="S21" s="75"/>
      <c r="T21" s="75"/>
      <c r="U21" s="76"/>
      <c r="V21" s="124"/>
      <c r="W21" s="75"/>
      <c r="X21" s="75"/>
      <c r="Y21" s="75"/>
      <c r="Z21" s="75"/>
      <c r="AA21" s="75"/>
      <c r="AB21" s="75"/>
      <c r="AC21" s="75"/>
      <c r="AD21" s="75"/>
      <c r="AE21" s="75"/>
      <c r="AF21" s="75"/>
      <c r="AG21" s="76"/>
      <c r="AH21" s="124"/>
      <c r="AI21" s="75"/>
      <c r="AJ21" s="75"/>
      <c r="AK21" s="75"/>
      <c r="AL21" s="75"/>
      <c r="AM21" s="75"/>
      <c r="AN21" s="80"/>
      <c r="AO21" s="80"/>
      <c r="AQ21" s="80"/>
      <c r="AR21" s="80"/>
      <c r="AS21" s="80"/>
      <c r="BA21" s="79"/>
      <c r="BB21" s="79"/>
      <c r="BC21" s="79"/>
    </row>
    <row r="22" spans="1:55" ht="15.75" thickBot="1" x14ac:dyDescent="0.3">
      <c r="A22" s="83" t="s">
        <v>303</v>
      </c>
      <c r="B22" s="84"/>
      <c r="C22" s="84"/>
      <c r="D22" s="84"/>
      <c r="E22" s="84"/>
      <c r="F22" s="84"/>
      <c r="G22" s="84"/>
      <c r="H22" s="84"/>
      <c r="I22" s="139"/>
      <c r="J22" s="138"/>
      <c r="K22" s="84"/>
      <c r="L22" s="84"/>
      <c r="M22" s="84"/>
      <c r="N22" s="140"/>
      <c r="O22" s="140"/>
      <c r="P22" s="141"/>
      <c r="Q22" s="141"/>
      <c r="R22" s="141"/>
      <c r="S22" s="141"/>
      <c r="T22" s="141"/>
      <c r="U22" s="142"/>
      <c r="V22" s="143"/>
      <c r="W22" s="141"/>
      <c r="X22" s="141"/>
      <c r="Y22" s="141"/>
      <c r="Z22" s="141"/>
      <c r="AA22" s="141"/>
      <c r="AB22" s="144"/>
      <c r="AC22" s="144"/>
      <c r="AD22" s="144"/>
      <c r="AE22" s="144"/>
      <c r="AF22" s="144"/>
      <c r="AG22" s="145"/>
      <c r="AH22" s="146"/>
      <c r="AI22" s="144"/>
      <c r="AJ22" s="144"/>
      <c r="AK22" s="144"/>
      <c r="AL22" s="144"/>
      <c r="AM22" s="144"/>
      <c r="AN22" s="80"/>
      <c r="AO22" s="80"/>
      <c r="AP22" s="80"/>
      <c r="AQ22" s="80"/>
      <c r="AR22" s="80"/>
      <c r="AS22" s="80"/>
      <c r="BA22" s="79"/>
      <c r="BB22" s="79"/>
      <c r="BC22" s="79"/>
    </row>
    <row r="23" spans="1:55" s="81" customFormat="1" x14ac:dyDescent="0.25">
      <c r="A23" s="61" t="s">
        <v>305</v>
      </c>
      <c r="B23" s="73"/>
      <c r="C23" s="73"/>
      <c r="D23" s="73"/>
      <c r="E23" s="73"/>
      <c r="F23" s="73"/>
      <c r="G23" s="73"/>
      <c r="H23" s="73"/>
      <c r="I23" s="72"/>
      <c r="J23" s="121"/>
      <c r="K23" s="73"/>
      <c r="L23" s="73"/>
      <c r="M23" s="73"/>
      <c r="N23" s="73"/>
      <c r="O23" s="73"/>
      <c r="P23" s="73"/>
      <c r="Q23" s="73"/>
      <c r="R23" s="73"/>
      <c r="S23" s="73"/>
      <c r="T23" s="73"/>
      <c r="U23" s="72"/>
      <c r="V23" s="121"/>
      <c r="W23" s="73"/>
      <c r="X23" s="73"/>
      <c r="Y23" s="73"/>
      <c r="Z23" s="73"/>
      <c r="AA23" s="73"/>
      <c r="AB23" s="73"/>
      <c r="AC23" s="73"/>
      <c r="AD23" s="73"/>
      <c r="AE23" s="73"/>
      <c r="AF23" s="73"/>
      <c r="AG23" s="72"/>
      <c r="AH23" s="121"/>
      <c r="AI23" s="73"/>
      <c r="AJ23" s="73"/>
      <c r="AK23" s="73"/>
      <c r="AL23" s="73"/>
      <c r="AM23" s="73"/>
      <c r="AN23" s="80"/>
      <c r="AO23" s="80"/>
      <c r="AP23" s="80"/>
      <c r="AQ23" s="80"/>
      <c r="AR23" s="80"/>
      <c r="AS23" s="80"/>
      <c r="AT23" s="80"/>
      <c r="AU23" s="80"/>
      <c r="AV23" s="80"/>
      <c r="AW23" s="80"/>
      <c r="AX23" s="80"/>
      <c r="AY23" s="80"/>
      <c r="AZ23" s="80"/>
    </row>
    <row r="24" spans="1:55" x14ac:dyDescent="0.25">
      <c r="A24" s="74" t="s">
        <v>298</v>
      </c>
      <c r="B24" s="75"/>
      <c r="C24" s="75"/>
      <c r="D24" s="75"/>
      <c r="E24" s="75"/>
      <c r="F24" s="75"/>
      <c r="G24" s="75"/>
      <c r="H24" s="75"/>
      <c r="I24" s="76"/>
      <c r="J24" s="124"/>
      <c r="K24" s="75"/>
      <c r="L24" s="75"/>
      <c r="M24" s="75"/>
      <c r="N24" s="75"/>
      <c r="O24" s="75"/>
      <c r="P24" s="75"/>
      <c r="Q24" s="75"/>
      <c r="R24" s="75"/>
      <c r="S24" s="75"/>
      <c r="T24" s="75"/>
      <c r="U24" s="76"/>
      <c r="V24" s="124"/>
      <c r="W24" s="75"/>
      <c r="X24" s="75"/>
      <c r="Y24" s="75"/>
      <c r="Z24" s="75"/>
      <c r="AA24" s="75"/>
      <c r="AB24" s="75"/>
      <c r="AC24" s="75"/>
      <c r="AD24" s="75"/>
      <c r="AE24" s="75"/>
      <c r="AF24" s="75"/>
      <c r="AG24" s="76"/>
      <c r="AH24" s="124"/>
      <c r="AI24" s="75"/>
      <c r="AJ24" s="75"/>
      <c r="AK24" s="75"/>
      <c r="AL24" s="75"/>
      <c r="AM24" s="75"/>
      <c r="AN24" s="80"/>
      <c r="AO24" s="80"/>
      <c r="AP24" s="80"/>
      <c r="AQ24" s="80"/>
      <c r="AR24" s="80"/>
      <c r="AS24" s="80"/>
      <c r="BA24" s="79"/>
      <c r="BB24" s="79"/>
      <c r="BC24" s="79"/>
    </row>
    <row r="25" spans="1:55" x14ac:dyDescent="0.25">
      <c r="A25" s="74" t="s">
        <v>299</v>
      </c>
      <c r="B25" s="77"/>
      <c r="C25" s="77"/>
      <c r="D25" s="75"/>
      <c r="E25" s="75"/>
      <c r="F25" s="75"/>
      <c r="G25" s="75"/>
      <c r="H25" s="75"/>
      <c r="I25" s="76"/>
      <c r="J25" s="124"/>
      <c r="K25" s="75"/>
      <c r="L25" s="75"/>
      <c r="M25" s="75"/>
      <c r="N25" s="75"/>
      <c r="O25" s="75"/>
      <c r="P25" s="75"/>
      <c r="Q25" s="75"/>
      <c r="R25" s="75"/>
      <c r="S25" s="75"/>
      <c r="T25" s="75"/>
      <c r="U25" s="76"/>
      <c r="V25" s="124"/>
      <c r="W25" s="75"/>
      <c r="X25" s="75"/>
      <c r="Y25" s="75"/>
      <c r="Z25" s="75"/>
      <c r="AA25" s="75"/>
      <c r="AB25" s="75"/>
      <c r="AC25" s="75"/>
      <c r="AD25" s="75"/>
      <c r="AE25" s="75"/>
      <c r="AF25" s="75"/>
      <c r="AG25" s="76"/>
      <c r="AH25" s="124"/>
      <c r="AI25" s="75"/>
      <c r="AJ25" s="75"/>
      <c r="AK25" s="75"/>
      <c r="AL25" s="75"/>
      <c r="AM25" s="75"/>
      <c r="AN25" s="80"/>
      <c r="AO25" s="80"/>
      <c r="AP25" s="80"/>
      <c r="AQ25" s="80"/>
      <c r="AR25" s="80"/>
      <c r="AS25" s="80"/>
      <c r="BA25" s="79"/>
      <c r="BB25" s="79"/>
      <c r="BC25" s="79"/>
    </row>
    <row r="26" spans="1:55" x14ac:dyDescent="0.25">
      <c r="A26" s="74" t="s">
        <v>300</v>
      </c>
      <c r="B26" s="75"/>
      <c r="C26" s="75"/>
      <c r="D26" s="82"/>
      <c r="E26" s="82"/>
      <c r="F26" s="82"/>
      <c r="G26" s="82"/>
      <c r="H26" s="82"/>
      <c r="I26" s="136"/>
      <c r="J26" s="124"/>
      <c r="K26" s="75"/>
      <c r="L26" s="75"/>
      <c r="M26" s="75"/>
      <c r="N26" s="75"/>
      <c r="O26" s="75"/>
      <c r="P26" s="75"/>
      <c r="Q26" s="75"/>
      <c r="R26" s="75"/>
      <c r="S26" s="75"/>
      <c r="T26" s="75"/>
      <c r="U26" s="76"/>
      <c r="V26" s="124"/>
      <c r="W26" s="75"/>
      <c r="X26" s="75"/>
      <c r="Y26" s="75"/>
      <c r="Z26" s="75"/>
      <c r="AA26" s="75"/>
      <c r="AB26" s="75"/>
      <c r="AC26" s="75"/>
      <c r="AD26" s="75"/>
      <c r="AE26" s="75"/>
      <c r="AF26" s="75"/>
      <c r="AG26" s="76"/>
      <c r="AH26" s="124"/>
      <c r="AI26" s="75"/>
      <c r="AJ26" s="75"/>
      <c r="AK26" s="75"/>
      <c r="AL26" s="75"/>
      <c r="AM26" s="75"/>
      <c r="AN26" s="80"/>
      <c r="AO26" s="80"/>
      <c r="AP26" s="80"/>
      <c r="AQ26" s="80"/>
      <c r="AR26" s="80"/>
      <c r="AS26" s="80"/>
      <c r="BA26" s="79"/>
      <c r="BB26" s="79"/>
      <c r="BC26" s="79"/>
    </row>
    <row r="27" spans="1:55" x14ac:dyDescent="0.25">
      <c r="A27" s="74" t="s">
        <v>301</v>
      </c>
      <c r="B27" s="75"/>
      <c r="C27" s="75"/>
      <c r="D27" s="75"/>
      <c r="E27" s="75"/>
      <c r="F27" s="75"/>
      <c r="G27" s="75"/>
      <c r="H27" s="75"/>
      <c r="I27" s="76"/>
      <c r="J27" s="137"/>
      <c r="K27" s="75"/>
      <c r="L27" s="75"/>
      <c r="M27" s="75"/>
      <c r="N27" s="75"/>
      <c r="O27" s="75"/>
      <c r="P27" s="75"/>
      <c r="Q27" s="75"/>
      <c r="R27" s="75"/>
      <c r="S27" s="75"/>
      <c r="T27" s="75"/>
      <c r="U27" s="76"/>
      <c r="V27" s="124"/>
      <c r="W27" s="75"/>
      <c r="X27" s="75"/>
      <c r="Y27" s="75"/>
      <c r="Z27" s="75"/>
      <c r="AA27" s="75"/>
      <c r="AB27" s="75"/>
      <c r="AC27" s="75"/>
      <c r="AD27" s="75"/>
      <c r="AE27" s="75"/>
      <c r="AF27" s="75"/>
      <c r="AG27" s="76"/>
      <c r="AH27" s="124"/>
      <c r="AI27" s="75"/>
      <c r="AJ27" s="75"/>
      <c r="AK27" s="75"/>
      <c r="AL27" s="75"/>
      <c r="AM27" s="75"/>
      <c r="AN27" s="80"/>
      <c r="AO27" s="80"/>
      <c r="AP27" s="80"/>
      <c r="AQ27" s="80"/>
      <c r="AR27" s="80"/>
      <c r="AS27" s="80"/>
      <c r="BA27" s="79"/>
      <c r="BB27" s="79"/>
      <c r="BC27" s="79"/>
    </row>
    <row r="28" spans="1:55" x14ac:dyDescent="0.25">
      <c r="A28" s="74" t="s">
        <v>302</v>
      </c>
      <c r="B28" s="75"/>
      <c r="C28" s="75"/>
      <c r="D28" s="75"/>
      <c r="E28" s="75"/>
      <c r="F28" s="75"/>
      <c r="G28" s="75"/>
      <c r="H28" s="75"/>
      <c r="I28" s="76"/>
      <c r="J28" s="124"/>
      <c r="K28" s="82"/>
      <c r="L28" s="82"/>
      <c r="M28" s="75"/>
      <c r="N28" s="75"/>
      <c r="O28" s="75"/>
      <c r="P28" s="75"/>
      <c r="Q28" s="75"/>
      <c r="R28" s="75"/>
      <c r="S28" s="75"/>
      <c r="T28" s="75"/>
      <c r="U28" s="76"/>
      <c r="V28" s="124"/>
      <c r="W28" s="75"/>
      <c r="X28" s="75"/>
      <c r="Y28" s="75"/>
      <c r="Z28" s="75"/>
      <c r="AA28" s="75"/>
      <c r="AB28" s="75"/>
      <c r="AC28" s="75"/>
      <c r="AD28" s="75"/>
      <c r="AE28" s="75"/>
      <c r="AF28" s="75"/>
      <c r="AG28" s="76"/>
      <c r="AH28" s="124"/>
      <c r="AI28" s="75"/>
      <c r="AJ28" s="75"/>
      <c r="AK28" s="75"/>
      <c r="AL28" s="75"/>
      <c r="AM28" s="75"/>
      <c r="AN28" s="80"/>
      <c r="AO28" s="80"/>
      <c r="AP28" s="80"/>
      <c r="AQ28" s="80"/>
      <c r="AR28" s="80"/>
      <c r="AS28" s="80"/>
      <c r="BA28" s="79"/>
      <c r="BB28" s="79"/>
      <c r="BC28" s="79"/>
    </row>
    <row r="29" spans="1:55" ht="15.75" thickBot="1" x14ac:dyDescent="0.3">
      <c r="A29" s="83" t="s">
        <v>303</v>
      </c>
      <c r="B29" s="84"/>
      <c r="C29" s="84"/>
      <c r="D29" s="84"/>
      <c r="E29" s="84"/>
      <c r="F29" s="84"/>
      <c r="G29" s="84"/>
      <c r="H29" s="84"/>
      <c r="I29" s="139"/>
      <c r="J29" s="138"/>
      <c r="K29" s="140"/>
      <c r="L29" s="140"/>
      <c r="M29" s="141"/>
      <c r="N29" s="141"/>
      <c r="O29" s="141"/>
      <c r="P29" s="141"/>
      <c r="Q29" s="141"/>
      <c r="R29" s="141"/>
      <c r="S29" s="141"/>
      <c r="T29" s="141"/>
      <c r="U29" s="142"/>
      <c r="V29" s="143"/>
      <c r="W29" s="141"/>
      <c r="X29" s="141"/>
      <c r="Y29" s="144"/>
      <c r="Z29" s="144"/>
      <c r="AA29" s="144"/>
      <c r="AB29" s="144"/>
      <c r="AC29" s="144"/>
      <c r="AD29" s="144"/>
      <c r="AE29" s="144"/>
      <c r="AF29" s="144"/>
      <c r="AG29" s="145"/>
      <c r="AH29" s="146"/>
      <c r="AI29" s="144"/>
      <c r="AJ29" s="144"/>
      <c r="AK29" s="144"/>
      <c r="AL29" s="144"/>
      <c r="AM29" s="144"/>
      <c r="AN29" s="80"/>
      <c r="AO29" s="80"/>
      <c r="AP29" s="80"/>
      <c r="AQ29" s="80"/>
      <c r="AR29" s="80"/>
      <c r="AS29" s="80"/>
      <c r="BA29" s="79"/>
      <c r="BB29" s="79"/>
      <c r="BC29" s="79"/>
    </row>
    <row r="30" spans="1:55" s="81" customFormat="1" x14ac:dyDescent="0.25">
      <c r="A30" s="61" t="s">
        <v>306</v>
      </c>
      <c r="B30" s="73"/>
      <c r="C30" s="73"/>
      <c r="D30" s="73"/>
      <c r="E30" s="73"/>
      <c r="F30" s="73"/>
      <c r="G30" s="73"/>
      <c r="H30" s="73"/>
      <c r="I30" s="72"/>
      <c r="J30" s="121"/>
      <c r="K30" s="73"/>
      <c r="L30" s="73"/>
      <c r="M30" s="73"/>
      <c r="N30" s="73"/>
      <c r="O30" s="73"/>
      <c r="P30" s="73"/>
      <c r="Q30" s="73"/>
      <c r="R30" s="73"/>
      <c r="S30" s="73"/>
      <c r="T30" s="73"/>
      <c r="U30" s="72"/>
      <c r="V30" s="121"/>
      <c r="W30" s="73"/>
      <c r="X30" s="73"/>
      <c r="Y30" s="73"/>
      <c r="Z30" s="73"/>
      <c r="AA30" s="73"/>
      <c r="AB30" s="73"/>
      <c r="AC30" s="73"/>
      <c r="AD30" s="73"/>
      <c r="AE30" s="73"/>
      <c r="AF30" s="73"/>
      <c r="AG30" s="72"/>
      <c r="AH30" s="121"/>
      <c r="AI30" s="73"/>
      <c r="AJ30" s="73"/>
      <c r="AK30" s="73"/>
      <c r="AL30" s="73"/>
      <c r="AM30" s="73"/>
      <c r="AN30" s="80"/>
      <c r="AO30" s="80"/>
      <c r="AP30" s="80"/>
      <c r="AQ30" s="80"/>
      <c r="AR30" s="80"/>
      <c r="AS30" s="80"/>
      <c r="AT30" s="80"/>
      <c r="AU30" s="80"/>
      <c r="AV30" s="80"/>
      <c r="AW30" s="80"/>
      <c r="AX30" s="80"/>
      <c r="AY30" s="80"/>
      <c r="AZ30" s="80"/>
    </row>
    <row r="31" spans="1:55" x14ac:dyDescent="0.25">
      <c r="A31" s="74" t="s">
        <v>293</v>
      </c>
      <c r="B31" s="77"/>
      <c r="C31" s="77"/>
      <c r="D31" s="77"/>
      <c r="E31" s="77"/>
      <c r="F31" s="77"/>
      <c r="G31" s="75"/>
      <c r="H31" s="75"/>
      <c r="I31" s="76"/>
      <c r="J31" s="124"/>
      <c r="K31" s="75"/>
      <c r="L31" s="75"/>
      <c r="M31" s="75"/>
      <c r="N31" s="75"/>
      <c r="O31" s="75"/>
      <c r="P31" s="75"/>
      <c r="Q31" s="75"/>
      <c r="R31" s="75"/>
      <c r="S31" s="75"/>
      <c r="T31" s="75"/>
      <c r="U31" s="76"/>
      <c r="V31" s="124"/>
      <c r="W31" s="75"/>
      <c r="X31" s="75"/>
      <c r="Y31" s="75"/>
      <c r="Z31" s="75"/>
      <c r="AA31" s="75"/>
      <c r="AB31" s="75"/>
      <c r="AC31" s="75"/>
      <c r="AD31" s="75"/>
      <c r="AE31" s="75"/>
      <c r="AF31" s="75"/>
      <c r="AG31" s="76"/>
      <c r="AH31" s="124"/>
      <c r="AI31" s="75"/>
      <c r="AJ31" s="75"/>
      <c r="AK31" s="75"/>
      <c r="AL31" s="75"/>
      <c r="AM31" s="75"/>
      <c r="AN31" s="80"/>
      <c r="AO31" s="80"/>
      <c r="AP31" s="80"/>
      <c r="AQ31" s="80"/>
      <c r="AR31" s="80"/>
      <c r="AS31" s="80"/>
      <c r="BA31" s="79"/>
      <c r="BB31" s="79"/>
      <c r="BC31" s="79"/>
    </row>
    <row r="32" spans="1:55" x14ac:dyDescent="0.25">
      <c r="A32" s="74" t="s">
        <v>295</v>
      </c>
      <c r="B32" s="77"/>
      <c r="C32" s="77"/>
      <c r="D32" s="77"/>
      <c r="E32" s="75"/>
      <c r="F32" s="75"/>
      <c r="G32" s="75"/>
      <c r="H32" s="75"/>
      <c r="I32" s="76"/>
      <c r="J32" s="124"/>
      <c r="K32" s="75"/>
      <c r="L32" s="75"/>
      <c r="M32" s="75"/>
      <c r="N32" s="75"/>
      <c r="O32" s="75"/>
      <c r="P32" s="75"/>
      <c r="Q32" s="75"/>
      <c r="R32" s="75"/>
      <c r="S32" s="75"/>
      <c r="T32" s="75"/>
      <c r="U32" s="76"/>
      <c r="V32" s="124"/>
      <c r="W32" s="75"/>
      <c r="X32" s="75"/>
      <c r="Y32" s="75"/>
      <c r="Z32" s="75"/>
      <c r="AA32" s="75"/>
      <c r="AB32" s="75"/>
      <c r="AC32" s="75"/>
      <c r="AD32" s="75"/>
      <c r="AE32" s="75"/>
      <c r="AF32" s="75"/>
      <c r="AG32" s="76"/>
      <c r="AH32" s="124"/>
      <c r="AI32" s="75"/>
      <c r="AJ32" s="75"/>
      <c r="AK32" s="75"/>
      <c r="AL32" s="75"/>
      <c r="AM32" s="75"/>
      <c r="AN32" s="80"/>
      <c r="AO32" s="80"/>
      <c r="AP32" s="80"/>
      <c r="AQ32" s="80"/>
      <c r="AR32" s="80"/>
      <c r="AS32" s="80"/>
      <c r="BA32" s="79"/>
      <c r="BB32" s="79"/>
      <c r="BC32" s="79"/>
    </row>
    <row r="33" spans="1:55" x14ac:dyDescent="0.25">
      <c r="A33" s="74" t="s">
        <v>296</v>
      </c>
      <c r="B33" s="77"/>
      <c r="C33" s="77"/>
      <c r="D33" s="77"/>
      <c r="E33" s="77"/>
      <c r="F33" s="77"/>
      <c r="G33" s="77"/>
      <c r="H33" s="75"/>
      <c r="I33" s="76"/>
      <c r="J33" s="124"/>
      <c r="K33" s="75"/>
      <c r="L33" s="75"/>
      <c r="M33" s="75"/>
      <c r="N33" s="75"/>
      <c r="O33" s="75"/>
      <c r="P33" s="75"/>
      <c r="Q33" s="75"/>
      <c r="R33" s="75"/>
      <c r="S33" s="75"/>
      <c r="T33" s="75"/>
      <c r="U33" s="76"/>
      <c r="V33" s="124"/>
      <c r="W33" s="75"/>
      <c r="X33" s="75"/>
      <c r="Y33" s="75"/>
      <c r="Z33" s="75"/>
      <c r="AA33" s="75"/>
      <c r="AB33" s="75"/>
      <c r="AC33" s="75"/>
      <c r="AD33" s="75"/>
      <c r="AE33" s="75"/>
      <c r="AF33" s="75"/>
      <c r="AG33" s="76"/>
      <c r="AH33" s="124"/>
      <c r="AI33" s="75"/>
      <c r="AJ33" s="75"/>
      <c r="AK33" s="75"/>
      <c r="AL33" s="75"/>
      <c r="AM33" s="75"/>
      <c r="AN33" s="80"/>
      <c r="AO33" s="80"/>
      <c r="AP33" s="80"/>
      <c r="AQ33" s="80"/>
      <c r="AR33" s="80"/>
      <c r="AS33" s="80"/>
      <c r="BA33" s="79"/>
      <c r="BB33" s="79"/>
      <c r="BC33" s="79"/>
    </row>
    <row r="34" spans="1:55" x14ac:dyDescent="0.25">
      <c r="A34" s="74" t="s">
        <v>297</v>
      </c>
      <c r="B34" s="75"/>
      <c r="C34" s="75"/>
      <c r="D34" s="75"/>
      <c r="E34" s="77"/>
      <c r="F34" s="77"/>
      <c r="G34" s="77"/>
      <c r="H34" s="77"/>
      <c r="I34" s="125"/>
      <c r="J34" s="123"/>
      <c r="K34" s="77"/>
      <c r="L34" s="77"/>
      <c r="M34" s="77"/>
      <c r="N34" s="75"/>
      <c r="O34" s="75"/>
      <c r="P34" s="75"/>
      <c r="Q34" s="75"/>
      <c r="R34" s="75"/>
      <c r="S34" s="75"/>
      <c r="T34" s="75"/>
      <c r="U34" s="76"/>
      <c r="V34" s="124"/>
      <c r="W34" s="75"/>
      <c r="X34" s="75"/>
      <c r="Y34" s="75"/>
      <c r="Z34" s="75"/>
      <c r="AA34" s="75"/>
      <c r="AB34" s="75"/>
      <c r="AC34" s="75"/>
      <c r="AD34" s="75"/>
      <c r="AE34" s="75"/>
      <c r="AF34" s="75"/>
      <c r="AG34" s="76"/>
      <c r="AH34" s="124"/>
      <c r="AI34" s="75"/>
      <c r="AJ34" s="75"/>
      <c r="AK34" s="75"/>
      <c r="AL34" s="75"/>
      <c r="AM34" s="75"/>
      <c r="AN34" s="80"/>
      <c r="AO34" s="80"/>
      <c r="AP34" s="80"/>
      <c r="AQ34" s="80"/>
      <c r="AR34" s="80"/>
      <c r="AS34" s="80"/>
      <c r="BA34" s="79"/>
      <c r="BB34" s="79"/>
      <c r="BC34" s="79"/>
    </row>
    <row r="35" spans="1:55" x14ac:dyDescent="0.25">
      <c r="A35" s="74" t="s">
        <v>298</v>
      </c>
      <c r="B35" s="75"/>
      <c r="C35" s="75"/>
      <c r="D35" s="75"/>
      <c r="E35" s="75"/>
      <c r="F35" s="75"/>
      <c r="G35" s="75"/>
      <c r="H35" s="75"/>
      <c r="I35" s="76"/>
      <c r="J35" s="124"/>
      <c r="K35" s="75"/>
      <c r="L35" s="77"/>
      <c r="M35" s="77"/>
      <c r="N35" s="77"/>
      <c r="O35" s="77"/>
      <c r="P35" s="77"/>
      <c r="Q35" s="77"/>
      <c r="R35" s="77"/>
      <c r="S35" s="77"/>
      <c r="T35" s="75"/>
      <c r="U35" s="76"/>
      <c r="V35" s="124"/>
      <c r="W35" s="75"/>
      <c r="X35" s="75"/>
      <c r="Y35" s="75"/>
      <c r="Z35" s="75"/>
      <c r="AA35" s="75"/>
      <c r="AB35" s="75"/>
      <c r="AC35" s="75"/>
      <c r="AD35" s="75"/>
      <c r="AE35" s="75"/>
      <c r="AF35" s="75"/>
      <c r="AG35" s="76"/>
      <c r="AH35" s="124"/>
      <c r="AI35" s="75"/>
      <c r="AJ35" s="75"/>
      <c r="AK35" s="75"/>
      <c r="AL35" s="75"/>
      <c r="AM35" s="75"/>
      <c r="AN35" s="80"/>
      <c r="AO35" s="80"/>
      <c r="AP35" s="80"/>
      <c r="AQ35" s="80"/>
      <c r="AR35" s="80"/>
      <c r="AS35" s="80"/>
      <c r="BA35" s="79"/>
      <c r="BB35" s="79"/>
      <c r="BC35" s="79"/>
    </row>
    <row r="36" spans="1:55" x14ac:dyDescent="0.25">
      <c r="A36" s="74" t="s">
        <v>299</v>
      </c>
      <c r="B36" s="75"/>
      <c r="C36" s="75"/>
      <c r="D36" s="75"/>
      <c r="E36" s="75"/>
      <c r="F36" s="75"/>
      <c r="G36" s="75"/>
      <c r="H36" s="75"/>
      <c r="I36" s="76"/>
      <c r="J36" s="124"/>
      <c r="K36" s="75"/>
      <c r="L36" s="75"/>
      <c r="M36" s="75"/>
      <c r="N36" s="75"/>
      <c r="O36" s="75"/>
      <c r="P36" s="75"/>
      <c r="Q36" s="75"/>
      <c r="R36" s="75"/>
      <c r="S36" s="75"/>
      <c r="T36" s="77"/>
      <c r="U36" s="125"/>
      <c r="V36" s="124"/>
      <c r="W36" s="75"/>
      <c r="X36" s="75"/>
      <c r="Y36" s="75"/>
      <c r="Z36" s="75"/>
      <c r="AA36" s="75"/>
      <c r="AB36" s="75"/>
      <c r="AC36" s="75"/>
      <c r="AD36" s="75"/>
      <c r="AE36" s="75"/>
      <c r="AF36" s="75"/>
      <c r="AG36" s="76"/>
      <c r="AH36" s="124"/>
      <c r="AI36" s="75"/>
      <c r="AJ36" s="75"/>
      <c r="AK36" s="75"/>
      <c r="AL36" s="75"/>
      <c r="AM36" s="75"/>
      <c r="AN36" s="80"/>
      <c r="AO36" s="80"/>
      <c r="AP36" s="80"/>
      <c r="AQ36" s="80"/>
      <c r="AR36" s="80"/>
      <c r="AS36" s="80"/>
      <c r="BA36" s="79"/>
      <c r="BB36" s="79"/>
      <c r="BC36" s="79"/>
    </row>
    <row r="37" spans="1:55" x14ac:dyDescent="0.25">
      <c r="A37" s="74" t="s">
        <v>300</v>
      </c>
      <c r="B37" s="75"/>
      <c r="C37" s="75"/>
      <c r="D37" s="75"/>
      <c r="E37" s="75"/>
      <c r="F37" s="75"/>
      <c r="G37" s="75"/>
      <c r="H37" s="75"/>
      <c r="I37" s="76"/>
      <c r="J37" s="124"/>
      <c r="K37" s="75"/>
      <c r="L37" s="75"/>
      <c r="M37" s="75"/>
      <c r="N37" s="75"/>
      <c r="O37" s="75"/>
      <c r="P37" s="75"/>
      <c r="Q37" s="75"/>
      <c r="R37" s="75"/>
      <c r="S37" s="75"/>
      <c r="T37" s="75"/>
      <c r="U37" s="76"/>
      <c r="V37" s="137"/>
      <c r="W37" s="82"/>
      <c r="X37" s="82"/>
      <c r="Y37" s="82"/>
      <c r="Z37" s="82"/>
      <c r="AA37" s="82"/>
      <c r="AB37" s="75"/>
      <c r="AC37" s="75"/>
      <c r="AD37" s="75"/>
      <c r="AE37" s="75"/>
      <c r="AF37" s="75"/>
      <c r="AG37" s="76"/>
      <c r="AH37" s="124"/>
      <c r="AI37" s="75"/>
      <c r="AJ37" s="75"/>
      <c r="AK37" s="75"/>
      <c r="AL37" s="75"/>
      <c r="AM37" s="75"/>
      <c r="AN37" s="80"/>
      <c r="AO37" s="80"/>
      <c r="AP37" s="80"/>
      <c r="AQ37" s="80"/>
      <c r="AR37" s="80"/>
      <c r="AS37" s="80"/>
      <c r="BA37" s="79"/>
      <c r="BB37" s="79"/>
      <c r="BC37" s="79"/>
    </row>
    <row r="38" spans="1:55" x14ac:dyDescent="0.25">
      <c r="A38" s="74" t="s">
        <v>301</v>
      </c>
      <c r="B38" s="75"/>
      <c r="C38" s="75"/>
      <c r="D38" s="75"/>
      <c r="E38" s="75"/>
      <c r="F38" s="75"/>
      <c r="G38" s="75"/>
      <c r="H38" s="75"/>
      <c r="I38" s="76"/>
      <c r="J38" s="124"/>
      <c r="K38" s="75"/>
      <c r="L38" s="75"/>
      <c r="M38" s="75"/>
      <c r="N38" s="75"/>
      <c r="O38" s="75"/>
      <c r="P38" s="75"/>
      <c r="Q38" s="75"/>
      <c r="R38" s="75"/>
      <c r="S38" s="75"/>
      <c r="T38" s="75"/>
      <c r="U38" s="76"/>
      <c r="V38" s="124"/>
      <c r="W38" s="75"/>
      <c r="X38" s="75"/>
      <c r="Y38" s="75"/>
      <c r="Z38" s="75"/>
      <c r="AA38" s="75"/>
      <c r="AB38" s="82"/>
      <c r="AC38" s="75"/>
      <c r="AD38" s="75"/>
      <c r="AE38" s="75"/>
      <c r="AF38" s="75"/>
      <c r="AG38" s="76"/>
      <c r="AH38" s="124"/>
      <c r="AI38" s="75"/>
      <c r="AJ38" s="75"/>
      <c r="AK38" s="75"/>
      <c r="AL38" s="75"/>
      <c r="AM38" s="75"/>
      <c r="AN38" s="80"/>
      <c r="AO38" s="80"/>
      <c r="AP38" s="80"/>
      <c r="AQ38" s="80"/>
      <c r="AR38" s="80"/>
      <c r="AS38" s="80"/>
      <c r="BA38" s="79"/>
      <c r="BB38" s="79"/>
      <c r="BC38" s="79"/>
    </row>
    <row r="39" spans="1:55" x14ac:dyDescent="0.25">
      <c r="A39" s="74" t="s">
        <v>302</v>
      </c>
      <c r="B39" s="75"/>
      <c r="C39" s="75"/>
      <c r="D39" s="75"/>
      <c r="E39" s="75"/>
      <c r="F39" s="75"/>
      <c r="G39" s="75"/>
      <c r="H39" s="75"/>
      <c r="I39" s="76"/>
      <c r="J39" s="124"/>
      <c r="K39" s="75"/>
      <c r="L39" s="75"/>
      <c r="M39" s="75"/>
      <c r="N39" s="75"/>
      <c r="O39" s="75"/>
      <c r="P39" s="75"/>
      <c r="Q39" s="75"/>
      <c r="R39" s="75"/>
      <c r="S39" s="75"/>
      <c r="T39" s="75"/>
      <c r="U39" s="76"/>
      <c r="V39" s="124"/>
      <c r="W39" s="75"/>
      <c r="X39" s="75"/>
      <c r="Y39" s="75"/>
      <c r="Z39" s="75"/>
      <c r="AA39" s="75"/>
      <c r="AB39" s="75"/>
      <c r="AC39" s="82"/>
      <c r="AD39" s="82"/>
      <c r="AE39" s="75"/>
      <c r="AF39" s="75"/>
      <c r="AG39" s="76"/>
      <c r="AH39" s="124"/>
      <c r="AI39" s="75"/>
      <c r="AJ39" s="75"/>
      <c r="AK39" s="75"/>
      <c r="AL39" s="75"/>
      <c r="AM39" s="75"/>
      <c r="AN39" s="80"/>
      <c r="AO39" s="80"/>
      <c r="AP39" s="80"/>
      <c r="AQ39" s="80"/>
      <c r="AR39" s="80"/>
      <c r="AS39" s="80"/>
      <c r="BA39" s="79"/>
      <c r="BB39" s="79"/>
      <c r="BC39" s="79"/>
    </row>
    <row r="40" spans="1:55" ht="15.75" thickBot="1" x14ac:dyDescent="0.3">
      <c r="A40" s="147" t="s">
        <v>303</v>
      </c>
      <c r="B40" s="84"/>
      <c r="C40" s="84"/>
      <c r="D40" s="84"/>
      <c r="E40" s="84"/>
      <c r="F40" s="84"/>
      <c r="G40" s="84"/>
      <c r="H40" s="84"/>
      <c r="I40" s="139"/>
      <c r="J40" s="138"/>
      <c r="K40" s="84"/>
      <c r="L40" s="84"/>
      <c r="M40" s="84"/>
      <c r="N40" s="84"/>
      <c r="O40" s="84"/>
      <c r="P40" s="84"/>
      <c r="Q40" s="84"/>
      <c r="R40" s="84"/>
      <c r="S40" s="84"/>
      <c r="T40" s="84"/>
      <c r="U40" s="139"/>
      <c r="V40" s="138"/>
      <c r="W40" s="84"/>
      <c r="X40" s="84"/>
      <c r="Y40" s="84"/>
      <c r="Z40" s="84"/>
      <c r="AA40" s="84"/>
      <c r="AB40" s="84"/>
      <c r="AC40" s="140"/>
      <c r="AD40" s="140"/>
      <c r="AE40" s="141"/>
      <c r="AF40" s="141"/>
      <c r="AG40" s="142"/>
      <c r="AH40" s="143"/>
      <c r="AI40" s="141"/>
      <c r="AJ40" s="141"/>
      <c r="AK40" s="141"/>
      <c r="AL40" s="141"/>
      <c r="AM40" s="141"/>
      <c r="AN40" s="80"/>
      <c r="AO40" s="80"/>
      <c r="AP40" s="80"/>
      <c r="AQ40" s="80"/>
      <c r="AR40" s="80"/>
      <c r="AS40" s="80"/>
      <c r="BA40" s="79"/>
      <c r="BB40" s="79"/>
      <c r="BC40" s="79"/>
    </row>
    <row r="41" spans="1:55" s="81" customFormat="1" x14ac:dyDescent="0.25">
      <c r="A41" s="61" t="s">
        <v>307</v>
      </c>
      <c r="B41" s="73"/>
      <c r="C41" s="73"/>
      <c r="D41" s="73"/>
      <c r="E41" s="73"/>
      <c r="F41" s="73"/>
      <c r="G41" s="73"/>
      <c r="H41" s="73"/>
      <c r="I41" s="72"/>
      <c r="J41" s="121"/>
      <c r="K41" s="73"/>
      <c r="L41" s="73"/>
      <c r="M41" s="73"/>
      <c r="N41" s="73"/>
      <c r="O41" s="73"/>
      <c r="P41" s="73"/>
      <c r="Q41" s="73"/>
      <c r="R41" s="73"/>
      <c r="S41" s="73"/>
      <c r="T41" s="73"/>
      <c r="U41" s="72"/>
      <c r="V41" s="121"/>
      <c r="W41" s="73"/>
      <c r="X41" s="73"/>
      <c r="Y41" s="73"/>
      <c r="Z41" s="73"/>
      <c r="AA41" s="73"/>
      <c r="AB41" s="73"/>
      <c r="AC41" s="73"/>
      <c r="AD41" s="73"/>
      <c r="AE41" s="73"/>
      <c r="AF41" s="73"/>
      <c r="AG41" s="72"/>
      <c r="AH41" s="121"/>
      <c r="AI41" s="73"/>
      <c r="AJ41" s="73"/>
      <c r="AK41" s="73"/>
      <c r="AL41" s="73"/>
      <c r="AM41" s="73"/>
      <c r="AN41" s="80"/>
      <c r="AO41" s="80"/>
      <c r="AP41" s="80"/>
      <c r="AQ41" s="80"/>
      <c r="AR41" s="80"/>
      <c r="AS41" s="80"/>
      <c r="AT41" s="80"/>
      <c r="AU41" s="80"/>
      <c r="AV41" s="80"/>
      <c r="AW41" s="80"/>
      <c r="AX41" s="80"/>
      <c r="AY41" s="80"/>
      <c r="AZ41" s="80"/>
    </row>
    <row r="42" spans="1:55" x14ac:dyDescent="0.25">
      <c r="A42" s="74" t="s">
        <v>298</v>
      </c>
      <c r="B42" s="77"/>
      <c r="C42" s="77"/>
      <c r="D42" s="77"/>
      <c r="E42" s="77"/>
      <c r="F42" s="77"/>
      <c r="G42" s="75"/>
      <c r="H42" s="75"/>
      <c r="I42" s="76"/>
      <c r="J42" s="124"/>
      <c r="K42" s="75"/>
      <c r="L42" s="75"/>
      <c r="M42" s="75"/>
      <c r="N42" s="75"/>
      <c r="O42" s="75"/>
      <c r="P42" s="75"/>
      <c r="Q42" s="75"/>
      <c r="R42" s="75"/>
      <c r="S42" s="75"/>
      <c r="T42" s="75"/>
      <c r="U42" s="76"/>
      <c r="V42" s="124"/>
      <c r="W42" s="75"/>
      <c r="X42" s="75"/>
      <c r="Y42" s="75"/>
      <c r="Z42" s="75"/>
      <c r="AA42" s="75"/>
      <c r="AB42" s="75"/>
      <c r="AC42" s="75"/>
      <c r="AD42" s="75"/>
      <c r="AE42" s="75"/>
      <c r="AF42" s="75"/>
      <c r="AG42" s="76"/>
      <c r="AH42" s="124"/>
      <c r="AI42" s="75"/>
      <c r="AJ42" s="75"/>
      <c r="AK42" s="75"/>
      <c r="AL42" s="75"/>
      <c r="AM42" s="75"/>
      <c r="AP42" s="80"/>
      <c r="AQ42" s="80"/>
      <c r="AR42" s="80"/>
      <c r="AS42" s="80"/>
      <c r="BA42" s="79"/>
      <c r="BB42" s="79"/>
      <c r="BC42" s="79"/>
    </row>
    <row r="43" spans="1:55" x14ac:dyDescent="0.25">
      <c r="A43" s="74" t="s">
        <v>299</v>
      </c>
      <c r="B43" s="75"/>
      <c r="C43" s="75"/>
      <c r="D43" s="75"/>
      <c r="E43" s="75"/>
      <c r="F43" s="75"/>
      <c r="G43" s="77"/>
      <c r="H43" s="77"/>
      <c r="I43" s="125"/>
      <c r="J43" s="124"/>
      <c r="K43" s="75"/>
      <c r="L43" s="75"/>
      <c r="M43" s="75"/>
      <c r="N43" s="75"/>
      <c r="O43" s="75"/>
      <c r="P43" s="75"/>
      <c r="Q43" s="75"/>
      <c r="R43" s="75"/>
      <c r="S43" s="75"/>
      <c r="T43" s="75"/>
      <c r="U43" s="76"/>
      <c r="V43" s="124"/>
      <c r="W43" s="75"/>
      <c r="X43" s="75"/>
      <c r="Y43" s="75"/>
      <c r="Z43" s="75"/>
      <c r="AA43" s="75"/>
      <c r="AB43" s="75"/>
      <c r="AC43" s="75"/>
      <c r="AD43" s="75"/>
      <c r="AE43" s="75"/>
      <c r="AF43" s="75"/>
      <c r="AG43" s="76"/>
      <c r="AH43" s="124"/>
      <c r="AI43" s="75"/>
      <c r="AJ43" s="75"/>
      <c r="AK43" s="75"/>
      <c r="AL43" s="75"/>
      <c r="AM43" s="75"/>
      <c r="AQ43" s="80"/>
      <c r="AR43" s="80"/>
      <c r="AS43" s="80"/>
      <c r="BA43" s="79"/>
      <c r="BB43" s="79"/>
      <c r="BC43" s="79"/>
    </row>
    <row r="44" spans="1:55" x14ac:dyDescent="0.25">
      <c r="A44" s="74" t="s">
        <v>300</v>
      </c>
      <c r="B44" s="75"/>
      <c r="C44" s="75"/>
      <c r="D44" s="75"/>
      <c r="E44" s="75"/>
      <c r="F44" s="75"/>
      <c r="G44" s="75"/>
      <c r="H44" s="75"/>
      <c r="I44" s="76"/>
      <c r="J44" s="137"/>
      <c r="K44" s="82"/>
      <c r="L44" s="82"/>
      <c r="M44" s="82"/>
      <c r="N44" s="82"/>
      <c r="O44" s="82"/>
      <c r="P44" s="75"/>
      <c r="Q44" s="75"/>
      <c r="R44" s="75"/>
      <c r="S44" s="75"/>
      <c r="T44" s="75"/>
      <c r="U44" s="76"/>
      <c r="V44" s="124"/>
      <c r="W44" s="75"/>
      <c r="X44" s="75"/>
      <c r="Y44" s="75"/>
      <c r="Z44" s="75"/>
      <c r="AA44" s="75"/>
      <c r="AB44" s="75"/>
      <c r="AC44" s="75"/>
      <c r="AD44" s="75"/>
      <c r="AE44" s="75"/>
      <c r="AF44" s="75"/>
      <c r="AG44" s="76"/>
      <c r="AH44" s="124"/>
      <c r="AI44" s="75"/>
      <c r="AJ44" s="75"/>
      <c r="AK44" s="75"/>
      <c r="AL44" s="75"/>
      <c r="AM44" s="75"/>
      <c r="AQ44" s="80"/>
      <c r="AR44" s="80"/>
      <c r="AS44" s="80"/>
      <c r="BA44" s="79"/>
      <c r="BB44" s="79"/>
      <c r="BC44" s="79"/>
    </row>
    <row r="45" spans="1:55" x14ac:dyDescent="0.25">
      <c r="A45" s="74" t="s">
        <v>301</v>
      </c>
      <c r="B45" s="75"/>
      <c r="C45" s="75"/>
      <c r="D45" s="75"/>
      <c r="E45" s="75"/>
      <c r="F45" s="75"/>
      <c r="G45" s="75"/>
      <c r="H45" s="75"/>
      <c r="I45" s="76"/>
      <c r="J45" s="124"/>
      <c r="K45" s="75"/>
      <c r="L45" s="75"/>
      <c r="M45" s="75"/>
      <c r="N45" s="75"/>
      <c r="O45" s="75"/>
      <c r="P45" s="82"/>
      <c r="Q45" s="75"/>
      <c r="R45" s="75"/>
      <c r="S45" s="75"/>
      <c r="T45" s="75"/>
      <c r="U45" s="76"/>
      <c r="V45" s="124"/>
      <c r="W45" s="75"/>
      <c r="X45" s="75"/>
      <c r="Y45" s="75"/>
      <c r="Z45" s="75"/>
      <c r="AA45" s="75"/>
      <c r="AB45" s="75"/>
      <c r="AC45" s="75"/>
      <c r="AD45" s="75"/>
      <c r="AE45" s="75"/>
      <c r="AF45" s="75"/>
      <c r="AG45" s="76"/>
      <c r="AH45" s="124"/>
      <c r="AI45" s="75"/>
      <c r="AJ45" s="75"/>
      <c r="AK45" s="75"/>
      <c r="AL45" s="75"/>
      <c r="AM45" s="75"/>
      <c r="AQ45" s="80"/>
      <c r="AR45" s="80"/>
      <c r="AS45" s="80"/>
      <c r="BA45" s="79"/>
      <c r="BB45" s="79"/>
      <c r="BC45" s="79"/>
    </row>
    <row r="46" spans="1:55" x14ac:dyDescent="0.25">
      <c r="A46" s="74" t="s">
        <v>302</v>
      </c>
      <c r="B46" s="130"/>
      <c r="C46" s="130"/>
      <c r="D46" s="130"/>
      <c r="E46" s="130"/>
      <c r="F46" s="130"/>
      <c r="G46" s="130"/>
      <c r="H46" s="130"/>
      <c r="I46" s="131"/>
      <c r="J46" s="129"/>
      <c r="K46" s="130"/>
      <c r="L46" s="130"/>
      <c r="M46" s="130"/>
      <c r="N46" s="130"/>
      <c r="O46" s="130"/>
      <c r="P46" s="130"/>
      <c r="Q46" s="148"/>
      <c r="R46" s="148"/>
      <c r="S46" s="130"/>
      <c r="T46" s="130"/>
      <c r="U46" s="131"/>
      <c r="V46" s="129"/>
      <c r="W46" s="130"/>
      <c r="X46" s="130"/>
      <c r="Y46" s="130"/>
      <c r="Z46" s="130"/>
      <c r="AA46" s="130"/>
      <c r="AB46" s="130"/>
      <c r="AC46" s="130"/>
      <c r="AD46" s="130"/>
      <c r="AE46" s="130"/>
      <c r="AF46" s="130"/>
      <c r="AG46" s="131"/>
      <c r="AH46" s="129"/>
      <c r="AI46" s="130"/>
      <c r="AJ46" s="130"/>
      <c r="AK46" s="130"/>
      <c r="AL46" s="130"/>
      <c r="AM46" s="130"/>
      <c r="AQ46" s="80"/>
      <c r="AR46" s="80"/>
      <c r="AS46" s="80"/>
      <c r="BA46" s="79"/>
      <c r="BB46" s="79"/>
      <c r="BC46" s="79"/>
    </row>
    <row r="47" spans="1:55" ht="15.75" thickBot="1" x14ac:dyDescent="0.3">
      <c r="A47" s="83" t="s">
        <v>303</v>
      </c>
      <c r="B47" s="84"/>
      <c r="C47" s="84"/>
      <c r="D47" s="84"/>
      <c r="E47" s="84"/>
      <c r="F47" s="84"/>
      <c r="G47" s="84"/>
      <c r="H47" s="84"/>
      <c r="I47" s="139"/>
      <c r="J47" s="138"/>
      <c r="K47" s="84"/>
      <c r="L47" s="84"/>
      <c r="M47" s="84"/>
      <c r="N47" s="84"/>
      <c r="O47" s="84"/>
      <c r="P47" s="84"/>
      <c r="Q47" s="84"/>
      <c r="R47" s="84"/>
      <c r="S47" s="141"/>
      <c r="T47" s="141"/>
      <c r="U47" s="142"/>
      <c r="V47" s="143"/>
      <c r="W47" s="141"/>
      <c r="X47" s="141"/>
      <c r="Y47" s="141"/>
      <c r="Z47" s="141"/>
      <c r="AA47" s="141"/>
      <c r="AB47" s="141"/>
      <c r="AC47" s="141"/>
      <c r="AD47" s="141"/>
      <c r="AE47" s="144"/>
      <c r="AF47" s="144"/>
      <c r="AG47" s="145"/>
      <c r="AH47" s="146"/>
      <c r="AI47" s="144"/>
      <c r="AJ47" s="144"/>
      <c r="AK47" s="144"/>
      <c r="AL47" s="144"/>
      <c r="AM47" s="144"/>
      <c r="AQ47" s="80"/>
      <c r="AR47" s="80"/>
      <c r="AS47" s="80"/>
      <c r="BA47" s="79"/>
      <c r="BB47" s="79"/>
      <c r="BC47" s="79"/>
    </row>
    <row r="48" spans="1:55" ht="15.75" thickBot="1" x14ac:dyDescent="0.3">
      <c r="A48" s="149" t="s">
        <v>308</v>
      </c>
      <c r="B48" s="89"/>
      <c r="C48" s="89"/>
      <c r="D48" s="89"/>
      <c r="E48" s="89"/>
      <c r="F48" s="89"/>
      <c r="G48" s="89"/>
      <c r="H48" s="89"/>
      <c r="I48" s="91"/>
      <c r="J48" s="150"/>
      <c r="K48" s="89"/>
      <c r="L48" s="89"/>
      <c r="M48" s="89"/>
      <c r="N48" s="89"/>
      <c r="O48" s="89"/>
      <c r="P48" s="89"/>
      <c r="Q48" s="89"/>
      <c r="R48" s="89"/>
      <c r="S48" s="89"/>
      <c r="T48" s="89"/>
      <c r="U48" s="91"/>
      <c r="V48" s="151"/>
      <c r="W48" s="90"/>
      <c r="X48" s="90"/>
      <c r="Y48" s="90"/>
      <c r="Z48" s="90"/>
      <c r="AA48" s="90"/>
      <c r="AB48" s="90"/>
      <c r="AC48" s="90"/>
      <c r="AD48" s="90"/>
      <c r="AE48" s="90"/>
      <c r="AF48" s="90"/>
      <c r="AG48" s="152"/>
      <c r="AH48" s="151"/>
      <c r="AI48" s="90"/>
      <c r="AJ48" s="90"/>
      <c r="AK48" s="90"/>
      <c r="AL48" s="90"/>
      <c r="AM48" s="90"/>
      <c r="AN48" s="120"/>
      <c r="AQ48" s="80"/>
      <c r="AR48" s="80"/>
      <c r="AS48" s="80"/>
      <c r="BA48" s="79"/>
      <c r="BB48" s="79"/>
      <c r="BC48" s="79"/>
    </row>
    <row r="49" spans="1:55" x14ac:dyDescent="0.25">
      <c r="B49" s="153">
        <v>42826</v>
      </c>
      <c r="C49" s="153">
        <v>42856</v>
      </c>
      <c r="D49" s="153">
        <v>42887</v>
      </c>
      <c r="E49" s="153">
        <v>42917</v>
      </c>
      <c r="F49" s="153">
        <v>42948</v>
      </c>
      <c r="G49" s="153">
        <v>42979</v>
      </c>
      <c r="H49" s="153">
        <v>43009</v>
      </c>
      <c r="I49" s="153">
        <v>43040</v>
      </c>
      <c r="J49" s="153">
        <v>43070</v>
      </c>
      <c r="K49" s="153">
        <v>43101</v>
      </c>
      <c r="L49" s="153">
        <v>43132</v>
      </c>
      <c r="M49" s="154">
        <v>43160</v>
      </c>
      <c r="N49" s="154">
        <v>43191</v>
      </c>
      <c r="O49" s="154">
        <v>43221</v>
      </c>
      <c r="P49" s="154">
        <v>43252</v>
      </c>
      <c r="Q49" s="154">
        <v>43282</v>
      </c>
      <c r="R49" s="154">
        <v>43313</v>
      </c>
      <c r="S49" s="154">
        <v>43344</v>
      </c>
      <c r="T49" s="154">
        <v>43374</v>
      </c>
      <c r="U49" s="154">
        <v>43405</v>
      </c>
      <c r="V49" s="119">
        <v>43435</v>
      </c>
      <c r="W49" s="153">
        <v>43466</v>
      </c>
      <c r="X49" s="154">
        <v>43497</v>
      </c>
      <c r="Y49" s="154">
        <v>43525</v>
      </c>
      <c r="Z49" s="154">
        <v>43556</v>
      </c>
      <c r="AA49" s="154">
        <v>43586</v>
      </c>
      <c r="AB49" s="154">
        <v>43617</v>
      </c>
      <c r="AC49" s="154">
        <v>43647</v>
      </c>
      <c r="AD49" s="154">
        <v>43678</v>
      </c>
      <c r="AE49" s="154">
        <v>43709</v>
      </c>
      <c r="AF49" s="154">
        <v>43739</v>
      </c>
      <c r="AG49" s="154">
        <v>43770</v>
      </c>
      <c r="AH49" s="119">
        <v>43800</v>
      </c>
      <c r="AI49" s="153">
        <v>43831</v>
      </c>
      <c r="AJ49" s="154">
        <v>43862</v>
      </c>
      <c r="AK49" s="154">
        <v>43891</v>
      </c>
      <c r="AL49" s="154">
        <v>43922</v>
      </c>
      <c r="AM49" s="154">
        <v>43952</v>
      </c>
      <c r="AN49" s="155">
        <v>43983</v>
      </c>
      <c r="AO49" s="57" t="s">
        <v>320</v>
      </c>
      <c r="AP49" s="80"/>
      <c r="AQ49" s="80"/>
      <c r="AR49" s="80"/>
      <c r="AS49" s="80"/>
      <c r="AZ49" s="79"/>
      <c r="BA49" s="79"/>
      <c r="BB49" s="79"/>
      <c r="BC49" s="79"/>
    </row>
    <row r="50" spans="1:55" x14ac:dyDescent="0.25">
      <c r="A50" s="156" t="s">
        <v>321</v>
      </c>
      <c r="B50" s="62">
        <f>$P$62*145.83</f>
        <v>19587.29027572264</v>
      </c>
      <c r="C50" s="62">
        <f t="shared" ref="C50:AN50" si="0">$P$62*145.83</f>
        <v>19587.29027572264</v>
      </c>
      <c r="D50" s="62">
        <f t="shared" si="0"/>
        <v>19587.29027572264</v>
      </c>
      <c r="E50" s="62">
        <f t="shared" si="0"/>
        <v>19587.29027572264</v>
      </c>
      <c r="F50" s="62">
        <f t="shared" si="0"/>
        <v>19587.29027572264</v>
      </c>
      <c r="G50" s="62">
        <f t="shared" si="0"/>
        <v>19587.29027572264</v>
      </c>
      <c r="H50" s="62">
        <f t="shared" si="0"/>
        <v>19587.29027572264</v>
      </c>
      <c r="I50" s="62">
        <f t="shared" si="0"/>
        <v>19587.29027572264</v>
      </c>
      <c r="J50" s="62">
        <f t="shared" si="0"/>
        <v>19587.29027572264</v>
      </c>
      <c r="K50" s="62">
        <f t="shared" si="0"/>
        <v>19587.29027572264</v>
      </c>
      <c r="L50" s="62">
        <f t="shared" si="0"/>
        <v>19587.29027572264</v>
      </c>
      <c r="M50" s="62">
        <f t="shared" si="0"/>
        <v>19587.29027572264</v>
      </c>
      <c r="N50" s="62">
        <f t="shared" si="0"/>
        <v>19587.29027572264</v>
      </c>
      <c r="O50" s="62">
        <f t="shared" si="0"/>
        <v>19587.29027572264</v>
      </c>
      <c r="P50" s="62">
        <f t="shared" si="0"/>
        <v>19587.29027572264</v>
      </c>
      <c r="Q50" s="62">
        <f t="shared" si="0"/>
        <v>19587.29027572264</v>
      </c>
      <c r="R50" s="62">
        <f t="shared" si="0"/>
        <v>19587.29027572264</v>
      </c>
      <c r="S50" s="62">
        <f t="shared" si="0"/>
        <v>19587.29027572264</v>
      </c>
      <c r="T50" s="62">
        <f t="shared" si="0"/>
        <v>19587.29027572264</v>
      </c>
      <c r="U50" s="62">
        <f t="shared" si="0"/>
        <v>19587.29027572264</v>
      </c>
      <c r="V50" s="62">
        <f t="shared" si="0"/>
        <v>19587.29027572264</v>
      </c>
      <c r="W50" s="62">
        <f t="shared" si="0"/>
        <v>19587.29027572264</v>
      </c>
      <c r="X50" s="62">
        <f t="shared" si="0"/>
        <v>19587.29027572264</v>
      </c>
      <c r="Y50" s="62">
        <f t="shared" si="0"/>
        <v>19587.29027572264</v>
      </c>
      <c r="Z50" s="62">
        <f t="shared" si="0"/>
        <v>19587.29027572264</v>
      </c>
      <c r="AA50" s="62">
        <f t="shared" si="0"/>
        <v>19587.29027572264</v>
      </c>
      <c r="AB50" s="62">
        <f t="shared" si="0"/>
        <v>19587.29027572264</v>
      </c>
      <c r="AC50" s="62">
        <f t="shared" si="0"/>
        <v>19587.29027572264</v>
      </c>
      <c r="AD50" s="62">
        <f t="shared" si="0"/>
        <v>19587.29027572264</v>
      </c>
      <c r="AE50" s="62">
        <f t="shared" si="0"/>
        <v>19587.29027572264</v>
      </c>
      <c r="AF50" s="62">
        <f t="shared" si="0"/>
        <v>19587.29027572264</v>
      </c>
      <c r="AG50" s="62">
        <f t="shared" si="0"/>
        <v>19587.29027572264</v>
      </c>
      <c r="AH50" s="62">
        <f t="shared" si="0"/>
        <v>19587.29027572264</v>
      </c>
      <c r="AI50" s="62">
        <f t="shared" si="0"/>
        <v>19587.29027572264</v>
      </c>
      <c r="AJ50" s="62">
        <f t="shared" si="0"/>
        <v>19587.29027572264</v>
      </c>
      <c r="AK50" s="62">
        <f t="shared" si="0"/>
        <v>19587.29027572264</v>
      </c>
      <c r="AL50" s="62">
        <f t="shared" si="0"/>
        <v>19587.29027572264</v>
      </c>
      <c r="AM50" s="62">
        <f t="shared" si="0"/>
        <v>19587.29027572264</v>
      </c>
      <c r="AN50" s="62">
        <f t="shared" si="0"/>
        <v>19587.29027572264</v>
      </c>
      <c r="AO50" s="208">
        <f t="shared" ref="AO50:AO56" si="1">SUM(B50:AN50)</f>
        <v>763904.32075318252</v>
      </c>
      <c r="AP50" s="80"/>
      <c r="AQ50" s="80"/>
      <c r="AR50" s="80"/>
      <c r="AS50" s="80"/>
      <c r="AZ50" s="79"/>
      <c r="BA50" s="79"/>
      <c r="BB50" s="79"/>
      <c r="BC50" s="79"/>
    </row>
    <row r="51" spans="1:55" x14ac:dyDescent="0.25">
      <c r="A51" s="156" t="s">
        <v>322</v>
      </c>
      <c r="B51" s="62">
        <f>$P$63*145.83</f>
        <v>340.31573836886412</v>
      </c>
      <c r="C51" s="62">
        <f t="shared" ref="C51:AN51" si="2">$P$63*145.83</f>
        <v>340.31573836886412</v>
      </c>
      <c r="D51" s="62">
        <f t="shared" si="2"/>
        <v>340.31573836886412</v>
      </c>
      <c r="E51" s="62">
        <f t="shared" si="2"/>
        <v>340.31573836886412</v>
      </c>
      <c r="F51" s="62">
        <f t="shared" si="2"/>
        <v>340.31573836886412</v>
      </c>
      <c r="G51" s="62">
        <f t="shared" si="2"/>
        <v>340.31573836886412</v>
      </c>
      <c r="H51" s="62">
        <f t="shared" si="2"/>
        <v>340.31573836886412</v>
      </c>
      <c r="I51" s="62">
        <f t="shared" si="2"/>
        <v>340.31573836886412</v>
      </c>
      <c r="J51" s="62">
        <f t="shared" si="2"/>
        <v>340.31573836886412</v>
      </c>
      <c r="K51" s="62">
        <f t="shared" si="2"/>
        <v>340.31573836886412</v>
      </c>
      <c r="L51" s="62">
        <f t="shared" si="2"/>
        <v>340.31573836886412</v>
      </c>
      <c r="M51" s="62">
        <f t="shared" si="2"/>
        <v>340.31573836886412</v>
      </c>
      <c r="N51" s="62">
        <f t="shared" si="2"/>
        <v>340.31573836886412</v>
      </c>
      <c r="O51" s="62">
        <f t="shared" si="2"/>
        <v>340.31573836886412</v>
      </c>
      <c r="P51" s="62">
        <f t="shared" si="2"/>
        <v>340.31573836886412</v>
      </c>
      <c r="Q51" s="62">
        <f t="shared" si="2"/>
        <v>340.31573836886412</v>
      </c>
      <c r="R51" s="62">
        <f t="shared" si="2"/>
        <v>340.31573836886412</v>
      </c>
      <c r="S51" s="62">
        <f t="shared" si="2"/>
        <v>340.31573836886412</v>
      </c>
      <c r="T51" s="62">
        <f t="shared" si="2"/>
        <v>340.31573836886412</v>
      </c>
      <c r="U51" s="62">
        <f t="shared" si="2"/>
        <v>340.31573836886412</v>
      </c>
      <c r="V51" s="62">
        <f t="shared" si="2"/>
        <v>340.31573836886412</v>
      </c>
      <c r="W51" s="62">
        <f t="shared" si="2"/>
        <v>340.31573836886412</v>
      </c>
      <c r="X51" s="62">
        <f t="shared" si="2"/>
        <v>340.31573836886412</v>
      </c>
      <c r="Y51" s="62">
        <f t="shared" si="2"/>
        <v>340.31573836886412</v>
      </c>
      <c r="Z51" s="62">
        <f t="shared" si="2"/>
        <v>340.31573836886412</v>
      </c>
      <c r="AA51" s="62">
        <f t="shared" si="2"/>
        <v>340.31573836886412</v>
      </c>
      <c r="AB51" s="62">
        <f t="shared" si="2"/>
        <v>340.31573836886412</v>
      </c>
      <c r="AC51" s="62">
        <f t="shared" si="2"/>
        <v>340.31573836886412</v>
      </c>
      <c r="AD51" s="62">
        <f t="shared" si="2"/>
        <v>340.31573836886412</v>
      </c>
      <c r="AE51" s="62">
        <f t="shared" si="2"/>
        <v>340.31573836886412</v>
      </c>
      <c r="AF51" s="62">
        <f t="shared" si="2"/>
        <v>340.31573836886412</v>
      </c>
      <c r="AG51" s="62">
        <f t="shared" si="2"/>
        <v>340.31573836886412</v>
      </c>
      <c r="AH51" s="62">
        <f t="shared" si="2"/>
        <v>340.31573836886412</v>
      </c>
      <c r="AI51" s="62">
        <f t="shared" si="2"/>
        <v>340.31573836886412</v>
      </c>
      <c r="AJ51" s="62">
        <f t="shared" si="2"/>
        <v>340.31573836886412</v>
      </c>
      <c r="AK51" s="62">
        <f t="shared" si="2"/>
        <v>340.31573836886412</v>
      </c>
      <c r="AL51" s="62">
        <f t="shared" si="2"/>
        <v>340.31573836886412</v>
      </c>
      <c r="AM51" s="62">
        <f t="shared" si="2"/>
        <v>340.31573836886412</v>
      </c>
      <c r="AN51" s="62">
        <f t="shared" si="2"/>
        <v>340.31573836886412</v>
      </c>
      <c r="AO51" s="208">
        <f t="shared" si="1"/>
        <v>13272.31379638571</v>
      </c>
      <c r="AP51" s="80"/>
      <c r="AQ51" s="80"/>
      <c r="AR51" s="80"/>
      <c r="AS51" s="80"/>
      <c r="AZ51" s="79"/>
      <c r="BA51" s="79"/>
      <c r="BB51" s="79"/>
      <c r="BC51" s="79"/>
    </row>
    <row r="52" spans="1:55" x14ac:dyDescent="0.25">
      <c r="A52" s="156" t="s">
        <v>323</v>
      </c>
      <c r="B52" s="62">
        <f>$P$64*145.83</f>
        <v>8694.8052190632334</v>
      </c>
      <c r="C52" s="62">
        <f t="shared" ref="C52:AN52" si="3">$P$64*145.83</f>
        <v>8694.8052190632334</v>
      </c>
      <c r="D52" s="62">
        <f t="shared" si="3"/>
        <v>8694.8052190632334</v>
      </c>
      <c r="E52" s="62">
        <f t="shared" si="3"/>
        <v>8694.8052190632334</v>
      </c>
      <c r="F52" s="62">
        <f t="shared" si="3"/>
        <v>8694.8052190632334</v>
      </c>
      <c r="G52" s="62">
        <f t="shared" si="3"/>
        <v>8694.8052190632334</v>
      </c>
      <c r="H52" s="62">
        <f t="shared" si="3"/>
        <v>8694.8052190632334</v>
      </c>
      <c r="I52" s="62">
        <f t="shared" si="3"/>
        <v>8694.8052190632334</v>
      </c>
      <c r="J52" s="62">
        <f t="shared" si="3"/>
        <v>8694.8052190632334</v>
      </c>
      <c r="K52" s="62">
        <f t="shared" si="3"/>
        <v>8694.8052190632334</v>
      </c>
      <c r="L52" s="62">
        <f t="shared" si="3"/>
        <v>8694.8052190632334</v>
      </c>
      <c r="M52" s="62">
        <f t="shared" si="3"/>
        <v>8694.8052190632334</v>
      </c>
      <c r="N52" s="62">
        <f t="shared" si="3"/>
        <v>8694.8052190632334</v>
      </c>
      <c r="O52" s="62">
        <f t="shared" si="3"/>
        <v>8694.8052190632334</v>
      </c>
      <c r="P52" s="62">
        <f t="shared" si="3"/>
        <v>8694.8052190632334</v>
      </c>
      <c r="Q52" s="62">
        <f t="shared" si="3"/>
        <v>8694.8052190632334</v>
      </c>
      <c r="R52" s="62">
        <f t="shared" si="3"/>
        <v>8694.8052190632334</v>
      </c>
      <c r="S52" s="62">
        <f t="shared" si="3"/>
        <v>8694.8052190632334</v>
      </c>
      <c r="T52" s="62">
        <f t="shared" si="3"/>
        <v>8694.8052190632334</v>
      </c>
      <c r="U52" s="62">
        <f t="shared" si="3"/>
        <v>8694.8052190632334</v>
      </c>
      <c r="V52" s="62">
        <f t="shared" si="3"/>
        <v>8694.8052190632334</v>
      </c>
      <c r="W52" s="62">
        <f t="shared" si="3"/>
        <v>8694.8052190632334</v>
      </c>
      <c r="X52" s="62">
        <f t="shared" si="3"/>
        <v>8694.8052190632334</v>
      </c>
      <c r="Y52" s="62">
        <f t="shared" si="3"/>
        <v>8694.8052190632334</v>
      </c>
      <c r="Z52" s="62">
        <f t="shared" si="3"/>
        <v>8694.8052190632334</v>
      </c>
      <c r="AA52" s="62">
        <f t="shared" si="3"/>
        <v>8694.8052190632334</v>
      </c>
      <c r="AB52" s="62">
        <f t="shared" si="3"/>
        <v>8694.8052190632334</v>
      </c>
      <c r="AC52" s="62">
        <f t="shared" si="3"/>
        <v>8694.8052190632334</v>
      </c>
      <c r="AD52" s="62">
        <f t="shared" si="3"/>
        <v>8694.8052190632334</v>
      </c>
      <c r="AE52" s="62">
        <f t="shared" si="3"/>
        <v>8694.8052190632334</v>
      </c>
      <c r="AF52" s="62">
        <f t="shared" si="3"/>
        <v>8694.8052190632334</v>
      </c>
      <c r="AG52" s="62">
        <f t="shared" si="3"/>
        <v>8694.8052190632334</v>
      </c>
      <c r="AH52" s="62">
        <f t="shared" si="3"/>
        <v>8694.8052190632334</v>
      </c>
      <c r="AI52" s="62">
        <f t="shared" si="3"/>
        <v>8694.8052190632334</v>
      </c>
      <c r="AJ52" s="62">
        <f t="shared" si="3"/>
        <v>8694.8052190632334</v>
      </c>
      <c r="AK52" s="62">
        <f t="shared" si="3"/>
        <v>8694.8052190632334</v>
      </c>
      <c r="AL52" s="62">
        <f t="shared" si="3"/>
        <v>8694.8052190632334</v>
      </c>
      <c r="AM52" s="62">
        <f t="shared" si="3"/>
        <v>8694.8052190632334</v>
      </c>
      <c r="AN52" s="62">
        <f t="shared" si="3"/>
        <v>8694.8052190632334</v>
      </c>
      <c r="AO52" s="208">
        <f t="shared" si="1"/>
        <v>339097.40354346629</v>
      </c>
      <c r="AP52" s="80"/>
      <c r="AQ52" s="80"/>
      <c r="AR52" s="80"/>
      <c r="AS52" s="80"/>
      <c r="AZ52" s="79"/>
      <c r="BA52" s="79"/>
      <c r="BB52" s="79"/>
      <c r="BC52" s="79"/>
    </row>
    <row r="53" spans="1:55" x14ac:dyDescent="0.25">
      <c r="A53" s="156" t="s">
        <v>324</v>
      </c>
      <c r="B53" s="62">
        <f>$P$65*145.83</f>
        <v>920.88486134733182</v>
      </c>
      <c r="C53" s="62">
        <f t="shared" ref="C53:AN53" si="4">$P$65*145.83</f>
        <v>920.88486134733182</v>
      </c>
      <c r="D53" s="62">
        <f t="shared" si="4"/>
        <v>920.88486134733182</v>
      </c>
      <c r="E53" s="62">
        <f t="shared" si="4"/>
        <v>920.88486134733182</v>
      </c>
      <c r="F53" s="62">
        <f t="shared" si="4"/>
        <v>920.88486134733182</v>
      </c>
      <c r="G53" s="62">
        <f t="shared" si="4"/>
        <v>920.88486134733182</v>
      </c>
      <c r="H53" s="62">
        <f t="shared" si="4"/>
        <v>920.88486134733182</v>
      </c>
      <c r="I53" s="62">
        <f t="shared" si="4"/>
        <v>920.88486134733182</v>
      </c>
      <c r="J53" s="62">
        <f t="shared" si="4"/>
        <v>920.88486134733182</v>
      </c>
      <c r="K53" s="62">
        <f t="shared" si="4"/>
        <v>920.88486134733182</v>
      </c>
      <c r="L53" s="62">
        <f t="shared" si="4"/>
        <v>920.88486134733182</v>
      </c>
      <c r="M53" s="62">
        <f t="shared" si="4"/>
        <v>920.88486134733182</v>
      </c>
      <c r="N53" s="62">
        <f t="shared" si="4"/>
        <v>920.88486134733182</v>
      </c>
      <c r="O53" s="62">
        <f t="shared" si="4"/>
        <v>920.88486134733182</v>
      </c>
      <c r="P53" s="62">
        <f t="shared" si="4"/>
        <v>920.88486134733182</v>
      </c>
      <c r="Q53" s="62">
        <f t="shared" si="4"/>
        <v>920.88486134733182</v>
      </c>
      <c r="R53" s="62">
        <f t="shared" si="4"/>
        <v>920.88486134733182</v>
      </c>
      <c r="S53" s="62">
        <f t="shared" si="4"/>
        <v>920.88486134733182</v>
      </c>
      <c r="T53" s="62">
        <f t="shared" si="4"/>
        <v>920.88486134733182</v>
      </c>
      <c r="U53" s="62">
        <f t="shared" si="4"/>
        <v>920.88486134733182</v>
      </c>
      <c r="V53" s="62">
        <f t="shared" si="4"/>
        <v>920.88486134733182</v>
      </c>
      <c r="W53" s="62">
        <f t="shared" si="4"/>
        <v>920.88486134733182</v>
      </c>
      <c r="X53" s="62">
        <f t="shared" si="4"/>
        <v>920.88486134733182</v>
      </c>
      <c r="Y53" s="62">
        <f t="shared" si="4"/>
        <v>920.88486134733182</v>
      </c>
      <c r="Z53" s="62">
        <f t="shared" si="4"/>
        <v>920.88486134733182</v>
      </c>
      <c r="AA53" s="62">
        <f t="shared" si="4"/>
        <v>920.88486134733182</v>
      </c>
      <c r="AB53" s="62">
        <f t="shared" si="4"/>
        <v>920.88486134733182</v>
      </c>
      <c r="AC53" s="62">
        <f t="shared" si="4"/>
        <v>920.88486134733182</v>
      </c>
      <c r="AD53" s="62">
        <f t="shared" si="4"/>
        <v>920.88486134733182</v>
      </c>
      <c r="AE53" s="62">
        <f t="shared" si="4"/>
        <v>920.88486134733182</v>
      </c>
      <c r="AF53" s="62">
        <f t="shared" si="4"/>
        <v>920.88486134733182</v>
      </c>
      <c r="AG53" s="62">
        <f t="shared" si="4"/>
        <v>920.88486134733182</v>
      </c>
      <c r="AH53" s="62">
        <f t="shared" si="4"/>
        <v>920.88486134733182</v>
      </c>
      <c r="AI53" s="62">
        <f t="shared" si="4"/>
        <v>920.88486134733182</v>
      </c>
      <c r="AJ53" s="62">
        <f t="shared" si="4"/>
        <v>920.88486134733182</v>
      </c>
      <c r="AK53" s="62">
        <f t="shared" si="4"/>
        <v>920.88486134733182</v>
      </c>
      <c r="AL53" s="62">
        <f t="shared" si="4"/>
        <v>920.88486134733182</v>
      </c>
      <c r="AM53" s="62">
        <f t="shared" si="4"/>
        <v>920.88486134733182</v>
      </c>
      <c r="AN53" s="62">
        <f t="shared" si="4"/>
        <v>920.88486134733182</v>
      </c>
      <c r="AO53" s="208">
        <f t="shared" si="1"/>
        <v>35914.509592545917</v>
      </c>
      <c r="AP53" s="80"/>
      <c r="AQ53" s="80"/>
      <c r="AR53" s="80"/>
      <c r="AS53" s="80"/>
      <c r="AZ53" s="79"/>
      <c r="BA53" s="79"/>
      <c r="BB53" s="79"/>
      <c r="BC53" s="79"/>
    </row>
    <row r="54" spans="1:55" x14ac:dyDescent="0.25">
      <c r="A54" s="157" t="s">
        <v>325</v>
      </c>
      <c r="B54" s="62">
        <f>$P$66*145.83</f>
        <v>12241.034200329288</v>
      </c>
      <c r="C54" s="62">
        <f t="shared" ref="C54:AN54" si="5">$P$66*145.83</f>
        <v>12241.034200329288</v>
      </c>
      <c r="D54" s="62">
        <f t="shared" si="5"/>
        <v>12241.034200329288</v>
      </c>
      <c r="E54" s="62">
        <f t="shared" si="5"/>
        <v>12241.034200329288</v>
      </c>
      <c r="F54" s="62">
        <f t="shared" si="5"/>
        <v>12241.034200329288</v>
      </c>
      <c r="G54" s="62">
        <f t="shared" si="5"/>
        <v>12241.034200329288</v>
      </c>
      <c r="H54" s="62">
        <f t="shared" si="5"/>
        <v>12241.034200329288</v>
      </c>
      <c r="I54" s="62">
        <f t="shared" si="5"/>
        <v>12241.034200329288</v>
      </c>
      <c r="J54" s="62">
        <f t="shared" si="5"/>
        <v>12241.034200329288</v>
      </c>
      <c r="K54" s="62">
        <f t="shared" si="5"/>
        <v>12241.034200329288</v>
      </c>
      <c r="L54" s="62">
        <f t="shared" si="5"/>
        <v>12241.034200329288</v>
      </c>
      <c r="M54" s="62">
        <f t="shared" si="5"/>
        <v>12241.034200329288</v>
      </c>
      <c r="N54" s="62">
        <f t="shared" si="5"/>
        <v>12241.034200329288</v>
      </c>
      <c r="O54" s="62">
        <f t="shared" si="5"/>
        <v>12241.034200329288</v>
      </c>
      <c r="P54" s="62">
        <f t="shared" si="5"/>
        <v>12241.034200329288</v>
      </c>
      <c r="Q54" s="62">
        <f t="shared" si="5"/>
        <v>12241.034200329288</v>
      </c>
      <c r="R54" s="62">
        <f t="shared" si="5"/>
        <v>12241.034200329288</v>
      </c>
      <c r="S54" s="62">
        <f t="shared" si="5"/>
        <v>12241.034200329288</v>
      </c>
      <c r="T54" s="62">
        <f t="shared" si="5"/>
        <v>12241.034200329288</v>
      </c>
      <c r="U54" s="62">
        <f t="shared" si="5"/>
        <v>12241.034200329288</v>
      </c>
      <c r="V54" s="62">
        <f t="shared" si="5"/>
        <v>12241.034200329288</v>
      </c>
      <c r="W54" s="62">
        <f t="shared" si="5"/>
        <v>12241.034200329288</v>
      </c>
      <c r="X54" s="62">
        <f t="shared" si="5"/>
        <v>12241.034200329288</v>
      </c>
      <c r="Y54" s="62">
        <f t="shared" si="5"/>
        <v>12241.034200329288</v>
      </c>
      <c r="Z54" s="62">
        <f t="shared" si="5"/>
        <v>12241.034200329288</v>
      </c>
      <c r="AA54" s="62">
        <f t="shared" si="5"/>
        <v>12241.034200329288</v>
      </c>
      <c r="AB54" s="62">
        <f t="shared" si="5"/>
        <v>12241.034200329288</v>
      </c>
      <c r="AC54" s="62">
        <f t="shared" si="5"/>
        <v>12241.034200329288</v>
      </c>
      <c r="AD54" s="62">
        <f t="shared" si="5"/>
        <v>12241.034200329288</v>
      </c>
      <c r="AE54" s="62">
        <f t="shared" si="5"/>
        <v>12241.034200329288</v>
      </c>
      <c r="AF54" s="62">
        <f t="shared" si="5"/>
        <v>12241.034200329288</v>
      </c>
      <c r="AG54" s="62">
        <f t="shared" si="5"/>
        <v>12241.034200329288</v>
      </c>
      <c r="AH54" s="62">
        <f t="shared" si="5"/>
        <v>12241.034200329288</v>
      </c>
      <c r="AI54" s="62">
        <f t="shared" si="5"/>
        <v>12241.034200329288</v>
      </c>
      <c r="AJ54" s="62">
        <f t="shared" si="5"/>
        <v>12241.034200329288</v>
      </c>
      <c r="AK54" s="62">
        <f t="shared" si="5"/>
        <v>12241.034200329288</v>
      </c>
      <c r="AL54" s="62">
        <f t="shared" si="5"/>
        <v>12241.034200329288</v>
      </c>
      <c r="AM54" s="62">
        <f t="shared" si="5"/>
        <v>12241.034200329288</v>
      </c>
      <c r="AN54" s="62">
        <f t="shared" si="5"/>
        <v>12241.034200329288</v>
      </c>
      <c r="AO54" s="208">
        <f t="shared" si="1"/>
        <v>477400.33381284191</v>
      </c>
      <c r="AP54" s="80"/>
      <c r="AQ54" s="80"/>
      <c r="AR54" s="80"/>
      <c r="AS54" s="80"/>
      <c r="AZ54" s="79"/>
      <c r="BA54" s="79"/>
      <c r="BB54" s="79"/>
      <c r="BC54" s="79"/>
    </row>
    <row r="55" spans="1:55" ht="15.75" thickBot="1" x14ac:dyDescent="0.3">
      <c r="A55" s="158" t="s">
        <v>480</v>
      </c>
      <c r="B55" s="132"/>
      <c r="C55" s="132"/>
      <c r="D55" s="132"/>
      <c r="E55" s="159"/>
      <c r="F55" s="132"/>
      <c r="G55" s="132"/>
      <c r="H55" s="159"/>
      <c r="I55" s="132"/>
      <c r="J55" s="219">
        <f>+$N$69*3*8</f>
        <v>12000</v>
      </c>
      <c r="K55" s="159"/>
      <c r="L55" s="132"/>
      <c r="M55" s="219">
        <f>+$N$69*3*8</f>
        <v>12000</v>
      </c>
      <c r="N55" s="132"/>
      <c r="O55" s="132"/>
      <c r="P55" s="219">
        <f>+$N$69*3*8</f>
        <v>12000</v>
      </c>
      <c r="Q55" s="132"/>
      <c r="R55" s="132"/>
      <c r="S55" s="132"/>
      <c r="T55" s="132"/>
      <c r="U55" s="132"/>
      <c r="V55" s="488"/>
      <c r="W55" s="327">
        <f>+'LUC Mgmnt 8y'!L10</f>
        <v>98152.6</v>
      </c>
      <c r="X55" s="327">
        <v>26010.45</v>
      </c>
      <c r="Y55" s="132"/>
      <c r="Z55" s="132"/>
      <c r="AA55" s="132"/>
      <c r="AB55" s="219">
        <f>+$N$69*3*8</f>
        <v>12000</v>
      </c>
      <c r="AC55" s="219">
        <f>+$N$69*3*8</f>
        <v>12000</v>
      </c>
      <c r="AD55" s="132"/>
      <c r="AE55" s="132"/>
      <c r="AF55" s="132"/>
      <c r="AG55" s="132"/>
      <c r="AH55" s="132"/>
      <c r="AI55" s="132"/>
      <c r="AJ55" s="132"/>
      <c r="AK55" s="132"/>
      <c r="AL55" s="132"/>
      <c r="AM55" s="132"/>
      <c r="AN55" s="160"/>
      <c r="AO55" s="253">
        <f t="shared" si="1"/>
        <v>184163.05000000002</v>
      </c>
      <c r="AQ55" s="80"/>
      <c r="AR55" s="80"/>
      <c r="AS55" s="80"/>
      <c r="BA55" s="79"/>
      <c r="BB55" s="79"/>
      <c r="BC55" s="79"/>
    </row>
    <row r="56" spans="1:55" ht="15.75" thickBot="1" x14ac:dyDescent="0.3">
      <c r="A56" s="161" t="s">
        <v>327</v>
      </c>
      <c r="B56" s="162">
        <f t="shared" ref="B56:AN56" si="6">SUM(B50:B55)</f>
        <v>41784.330294831358</v>
      </c>
      <c r="C56" s="162">
        <f t="shared" si="6"/>
        <v>41784.330294831358</v>
      </c>
      <c r="D56" s="162">
        <f t="shared" si="6"/>
        <v>41784.330294831358</v>
      </c>
      <c r="E56" s="162">
        <f t="shared" si="6"/>
        <v>41784.330294831358</v>
      </c>
      <c r="F56" s="162">
        <f t="shared" si="6"/>
        <v>41784.330294831358</v>
      </c>
      <c r="G56" s="162">
        <f t="shared" si="6"/>
        <v>41784.330294831358</v>
      </c>
      <c r="H56" s="162">
        <f t="shared" si="6"/>
        <v>41784.330294831358</v>
      </c>
      <c r="I56" s="162">
        <f t="shared" si="6"/>
        <v>41784.330294831358</v>
      </c>
      <c r="J56" s="162">
        <f t="shared" si="6"/>
        <v>53784.330294831358</v>
      </c>
      <c r="K56" s="162">
        <f t="shared" si="6"/>
        <v>41784.330294831358</v>
      </c>
      <c r="L56" s="162">
        <f t="shared" si="6"/>
        <v>41784.330294831358</v>
      </c>
      <c r="M56" s="162">
        <f t="shared" si="6"/>
        <v>53784.330294831358</v>
      </c>
      <c r="N56" s="162">
        <f t="shared" si="6"/>
        <v>41784.330294831358</v>
      </c>
      <c r="O56" s="162">
        <f t="shared" si="6"/>
        <v>41784.330294831358</v>
      </c>
      <c r="P56" s="162">
        <f t="shared" si="6"/>
        <v>53784.330294831358</v>
      </c>
      <c r="Q56" s="162">
        <f t="shared" si="6"/>
        <v>41784.330294831358</v>
      </c>
      <c r="R56" s="162">
        <f t="shared" si="6"/>
        <v>41784.330294831358</v>
      </c>
      <c r="S56" s="162">
        <f t="shared" si="6"/>
        <v>41784.330294831358</v>
      </c>
      <c r="T56" s="162">
        <f t="shared" si="6"/>
        <v>41784.330294831358</v>
      </c>
      <c r="U56" s="162">
        <f t="shared" si="6"/>
        <v>41784.330294831358</v>
      </c>
      <c r="V56" s="162">
        <f>SUM(V50:V55)</f>
        <v>41784.330294831358</v>
      </c>
      <c r="W56" s="162">
        <f>SUM(W50:W55)</f>
        <v>139936.93029483137</v>
      </c>
      <c r="X56" s="162">
        <f t="shared" si="6"/>
        <v>67794.780294831362</v>
      </c>
      <c r="Y56" s="162">
        <f t="shared" si="6"/>
        <v>41784.330294831358</v>
      </c>
      <c r="Z56" s="162">
        <f t="shared" si="6"/>
        <v>41784.330294831358</v>
      </c>
      <c r="AA56" s="162">
        <f t="shared" si="6"/>
        <v>41784.330294831358</v>
      </c>
      <c r="AB56" s="162">
        <f t="shared" si="6"/>
        <v>53784.330294831358</v>
      </c>
      <c r="AC56" s="162">
        <f t="shared" si="6"/>
        <v>53784.330294831358</v>
      </c>
      <c r="AD56" s="162">
        <f t="shared" si="6"/>
        <v>41784.330294831358</v>
      </c>
      <c r="AE56" s="162">
        <f t="shared" si="6"/>
        <v>41784.330294831358</v>
      </c>
      <c r="AF56" s="162">
        <f t="shared" si="6"/>
        <v>41784.330294831358</v>
      </c>
      <c r="AG56" s="162">
        <f t="shared" si="6"/>
        <v>41784.330294831358</v>
      </c>
      <c r="AH56" s="162">
        <f t="shared" si="6"/>
        <v>41784.330294831358</v>
      </c>
      <c r="AI56" s="162">
        <f t="shared" si="6"/>
        <v>41784.330294831358</v>
      </c>
      <c r="AJ56" s="162">
        <f t="shared" si="6"/>
        <v>41784.330294831358</v>
      </c>
      <c r="AK56" s="162">
        <f t="shared" si="6"/>
        <v>41784.330294831358</v>
      </c>
      <c r="AL56" s="162">
        <f t="shared" si="6"/>
        <v>41784.330294831358</v>
      </c>
      <c r="AM56" s="162">
        <f t="shared" si="6"/>
        <v>41784.330294831358</v>
      </c>
      <c r="AN56" s="209">
        <f t="shared" si="6"/>
        <v>41784.330294831358</v>
      </c>
      <c r="AO56" s="210">
        <f t="shared" si="1"/>
        <v>1813751.9314984235</v>
      </c>
      <c r="AQ56" s="80"/>
      <c r="AR56" s="80"/>
      <c r="AS56" s="80"/>
      <c r="BA56" s="79"/>
      <c r="BB56" s="79"/>
      <c r="BC56" s="79"/>
    </row>
    <row r="57" spans="1:55" ht="15.75" thickBot="1" x14ac:dyDescent="0.3">
      <c r="A57" s="163" t="s">
        <v>373</v>
      </c>
      <c r="B57" s="164"/>
      <c r="C57" s="164"/>
      <c r="D57" s="164"/>
      <c r="E57" s="164"/>
      <c r="F57" s="164"/>
      <c r="G57" s="164"/>
      <c r="H57" s="164">
        <v>2017</v>
      </c>
      <c r="I57" s="165">
        <f>SUM(B56:J56)</f>
        <v>388058.97265348223</v>
      </c>
      <c r="J57" s="164"/>
      <c r="K57" s="164"/>
      <c r="L57" s="164"/>
      <c r="M57" s="164"/>
      <c r="N57" s="164"/>
      <c r="O57" s="164"/>
      <c r="P57" s="164"/>
      <c r="Q57" s="164"/>
      <c r="R57" s="164"/>
      <c r="S57" s="164"/>
      <c r="T57" s="164">
        <v>2018</v>
      </c>
      <c r="U57" s="165">
        <f>SUM(K56:V56)</f>
        <v>525411.96353797626</v>
      </c>
      <c r="V57" s="164"/>
      <c r="W57" s="164"/>
      <c r="X57" s="164"/>
      <c r="Y57" s="164"/>
      <c r="Z57" s="164"/>
      <c r="AA57" s="164"/>
      <c r="AB57" s="164"/>
      <c r="AC57" s="164"/>
      <c r="AD57" s="164"/>
      <c r="AE57" s="164"/>
      <c r="AF57" s="164">
        <v>2019</v>
      </c>
      <c r="AG57" s="165">
        <f>SUM(W56:AH56)</f>
        <v>649575.01353797619</v>
      </c>
      <c r="AH57" s="164"/>
      <c r="AI57" s="164"/>
      <c r="AJ57" s="164"/>
      <c r="AK57" s="164"/>
      <c r="AL57" s="164">
        <v>2020</v>
      </c>
      <c r="AM57" s="165">
        <f>SUM(AI56:AN56)</f>
        <v>250705.98176898816</v>
      </c>
      <c r="AO57" s="114"/>
      <c r="AQ57" s="79"/>
      <c r="AR57" s="80"/>
      <c r="AS57" s="80"/>
      <c r="BB57" s="79"/>
      <c r="BC57" s="79"/>
    </row>
    <row r="58" spans="1:55" ht="15.75" thickBot="1" x14ac:dyDescent="0.3"/>
    <row r="59" spans="1:55" ht="15.75" thickBot="1" x14ac:dyDescent="0.3">
      <c r="A59" s="166"/>
      <c r="B59" s="19" t="s">
        <v>210</v>
      </c>
      <c r="C59" s="508" t="s">
        <v>376</v>
      </c>
      <c r="D59" s="509"/>
      <c r="E59" s="509"/>
      <c r="F59" s="509"/>
      <c r="G59" s="509"/>
      <c r="H59" s="509"/>
      <c r="I59" s="67"/>
      <c r="J59" s="67"/>
      <c r="K59" s="67"/>
      <c r="L59" s="67"/>
      <c r="M59" s="67"/>
      <c r="N59" s="67"/>
      <c r="O59" s="63"/>
      <c r="P59" s="167"/>
    </row>
    <row r="60" spans="1:55" ht="15.75" thickBot="1" x14ac:dyDescent="0.3">
      <c r="A60" s="168"/>
      <c r="B60" s="169" t="s">
        <v>211</v>
      </c>
      <c r="C60" s="169"/>
      <c r="D60" s="169"/>
      <c r="E60" s="169"/>
      <c r="F60" s="169"/>
      <c r="G60" s="169"/>
      <c r="H60" s="169"/>
      <c r="I60" s="169"/>
      <c r="J60" s="169"/>
      <c r="K60" s="169"/>
      <c r="L60" s="169"/>
      <c r="M60" s="169"/>
      <c r="N60" s="169"/>
      <c r="O60" s="169"/>
      <c r="P60" s="170"/>
      <c r="Q60" s="266">
        <v>43056</v>
      </c>
    </row>
    <row r="61" spans="1:55" s="213" customFormat="1" ht="30" x14ac:dyDescent="0.25">
      <c r="A61" s="214"/>
      <c r="B61" s="215" t="s">
        <v>310</v>
      </c>
      <c r="C61" s="215" t="s">
        <v>311</v>
      </c>
      <c r="D61" s="215" t="s">
        <v>312</v>
      </c>
      <c r="E61" s="215" t="s">
        <v>313</v>
      </c>
      <c r="F61" s="215" t="s">
        <v>314</v>
      </c>
      <c r="G61" s="215" t="s">
        <v>315</v>
      </c>
      <c r="H61" s="215" t="s">
        <v>316</v>
      </c>
      <c r="I61" s="215" t="s">
        <v>317</v>
      </c>
      <c r="J61" s="215">
        <v>457</v>
      </c>
      <c r="K61" s="215" t="s">
        <v>318</v>
      </c>
      <c r="L61" s="215" t="s">
        <v>212</v>
      </c>
      <c r="M61" s="215" t="s">
        <v>213</v>
      </c>
      <c r="N61" s="215" t="s">
        <v>417</v>
      </c>
      <c r="O61" s="215" t="s">
        <v>450</v>
      </c>
      <c r="P61" s="216" t="s">
        <v>435</v>
      </c>
      <c r="Q61" s="267" t="s">
        <v>434</v>
      </c>
      <c r="R61" s="271" t="s">
        <v>440</v>
      </c>
      <c r="S61" s="270" t="s">
        <v>445</v>
      </c>
      <c r="T61" s="507" t="s">
        <v>449</v>
      </c>
      <c r="U61" s="507"/>
      <c r="V61" s="507"/>
      <c r="W61" s="507"/>
      <c r="X61" s="507"/>
      <c r="Y61" s="507"/>
      <c r="Z61" s="507"/>
      <c r="AT61" s="217"/>
      <c r="AU61" s="217"/>
      <c r="AV61" s="217"/>
      <c r="AW61" s="217"/>
      <c r="AX61" s="217"/>
      <c r="AY61" s="217"/>
      <c r="AZ61" s="217"/>
      <c r="BA61" s="217"/>
      <c r="BB61" s="217"/>
      <c r="BC61" s="217"/>
    </row>
    <row r="62" spans="1:55" x14ac:dyDescent="0.25">
      <c r="A62" s="258" t="s">
        <v>321</v>
      </c>
      <c r="B62" s="259">
        <f>143333.63/1750</f>
        <v>81.90493142857143</v>
      </c>
      <c r="C62" s="259">
        <f>+B62*0.1</f>
        <v>8.190493142857143</v>
      </c>
      <c r="D62" s="259">
        <f>((+C62+B62)*0.15921)*1.1</f>
        <v>15.778501800618857</v>
      </c>
      <c r="E62" s="259">
        <f>145*12/1750</f>
        <v>0.99428571428571433</v>
      </c>
      <c r="F62" s="259">
        <f>820.38*0.00685714285714286</f>
        <v>5.6254628571428595</v>
      </c>
      <c r="G62" s="259">
        <f>(+B62+C62-D62+E62-F62)*0.0145</f>
        <v>1.0104433116053122</v>
      </c>
      <c r="H62" s="259">
        <f>7000*0.013/1750</f>
        <v>5.1999999999999998E-2</v>
      </c>
      <c r="I62" s="259">
        <f>50*0.00685714285714286</f>
        <v>0.34285714285714303</v>
      </c>
      <c r="J62" s="259">
        <v>0</v>
      </c>
      <c r="K62" s="259">
        <f>(+B62+C62)*0.01</f>
        <v>0.90095424571428573</v>
      </c>
      <c r="L62" s="259">
        <f>SUM(B62:K62)</f>
        <v>114.79992964365275</v>
      </c>
      <c r="M62" s="260">
        <v>1</v>
      </c>
      <c r="N62" s="259">
        <f t="shared" ref="N62:N66" si="7">L62*M62</f>
        <v>114.79992964365275</v>
      </c>
      <c r="O62" s="259">
        <f>+N62*0.17</f>
        <v>19.515988039420968</v>
      </c>
      <c r="P62" s="261">
        <f>+N62+O62</f>
        <v>134.31591768307371</v>
      </c>
      <c r="Q62" s="268">
        <f>+L62+O62</f>
        <v>134.31591768307371</v>
      </c>
      <c r="R62" s="264">
        <v>107.79572559535262</v>
      </c>
      <c r="S62" s="262">
        <f>+L62-R62</f>
        <v>7.0042040483001244</v>
      </c>
      <c r="T62" s="506" t="s">
        <v>442</v>
      </c>
      <c r="U62" s="506"/>
      <c r="V62" s="506"/>
      <c r="W62" s="506"/>
      <c r="X62" s="506"/>
      <c r="Y62" s="506"/>
      <c r="Z62" s="506"/>
    </row>
    <row r="63" spans="1:55" x14ac:dyDescent="0.25">
      <c r="A63" s="258" t="s">
        <v>374</v>
      </c>
      <c r="B63" s="259">
        <v>30.39</v>
      </c>
      <c r="C63" s="259">
        <v>0</v>
      </c>
      <c r="D63" s="259">
        <f>((+C63+B63)*0.06533)*1.1</f>
        <v>2.1839165700000001</v>
      </c>
      <c r="E63" s="259">
        <f t="shared" ref="E63:E66" si="8">145*12/1750</f>
        <v>0.99428571428571433</v>
      </c>
      <c r="F63" s="259">
        <f>820.38*0.00685714285714286</f>
        <v>5.6254628571428595</v>
      </c>
      <c r="G63" s="259">
        <f>(+B63+C63-D63+E63-F63)*0.0145</f>
        <v>0.34183614116357136</v>
      </c>
      <c r="H63" s="259">
        <f t="shared" ref="H63:H66" si="9">7000*0.013/1750</f>
        <v>5.1999999999999998E-2</v>
      </c>
      <c r="I63" s="259">
        <v>0</v>
      </c>
      <c r="J63" s="259">
        <v>0</v>
      </c>
      <c r="K63" s="259">
        <f>(+B63+C63)*0.01</f>
        <v>0.3039</v>
      </c>
      <c r="L63" s="259">
        <f t="shared" ref="L63:L66" si="10">SUM(B63:K63)</f>
        <v>39.891401282592142</v>
      </c>
      <c r="M63" s="260">
        <v>0.05</v>
      </c>
      <c r="N63" s="259">
        <f t="shared" si="7"/>
        <v>1.9945700641296071</v>
      </c>
      <c r="O63" s="259">
        <f t="shared" ref="O63:O66" si="11">+N63*0.17</f>
        <v>0.33907691090203324</v>
      </c>
      <c r="P63" s="261">
        <f t="shared" ref="P63:P66" si="12">+N63+O63</f>
        <v>2.3336469750316402</v>
      </c>
      <c r="Q63" s="268">
        <f t="shared" ref="Q63:Q66" si="13">+L63+O63</f>
        <v>40.230478193494172</v>
      </c>
      <c r="R63" s="264">
        <v>3.5318353337583481</v>
      </c>
      <c r="S63" s="262">
        <f t="shared" ref="S63:S66" si="14">+N63-R63</f>
        <v>-1.537265269628741</v>
      </c>
      <c r="T63" s="506" t="s">
        <v>443</v>
      </c>
      <c r="U63" s="506"/>
      <c r="V63" s="506"/>
      <c r="W63" s="506"/>
      <c r="X63" s="506"/>
      <c r="Y63" s="506"/>
      <c r="Z63" s="506"/>
    </row>
    <row r="64" spans="1:55" x14ac:dyDescent="0.25">
      <c r="A64" s="258" t="s">
        <v>375</v>
      </c>
      <c r="B64" s="259">
        <f>239213.71/1750</f>
        <v>136.69354857142858</v>
      </c>
      <c r="C64" s="259">
        <f>+B64*0.1</f>
        <v>13.669354857142858</v>
      </c>
      <c r="D64" s="259">
        <f t="shared" ref="D64:D66" si="15">((+C64+B64)*0.15921)*1.1</f>
        <v>26.333205640349142</v>
      </c>
      <c r="E64" s="259">
        <f t="shared" si="8"/>
        <v>0.99428571428571433</v>
      </c>
      <c r="F64" s="259">
        <f>1511*0.00685714285714286</f>
        <v>10.361142857142863</v>
      </c>
      <c r="G64" s="259">
        <f>(+B64+C64-D64+E64-F64)*0.0145</f>
        <v>1.6626111893577944</v>
      </c>
      <c r="H64" s="259">
        <f t="shared" si="9"/>
        <v>5.1999999999999998E-2</v>
      </c>
      <c r="I64" s="259">
        <f>300*0.00685714285714286</f>
        <v>2.0571428571428583</v>
      </c>
      <c r="J64" s="259">
        <f>1533*0.00685714285714286</f>
        <v>10.512000000000004</v>
      </c>
      <c r="K64" s="259">
        <f>(+B64+C64)*0.01</f>
        <v>1.5036290342857144</v>
      </c>
      <c r="L64" s="259">
        <f t="shared" si="10"/>
        <v>203.83892072113551</v>
      </c>
      <c r="M64" s="260">
        <v>0.25</v>
      </c>
      <c r="N64" s="259">
        <f t="shared" si="7"/>
        <v>50.959730180283877</v>
      </c>
      <c r="O64" s="259">
        <f t="shared" si="11"/>
        <v>8.6631541306482589</v>
      </c>
      <c r="P64" s="261">
        <f t="shared" si="12"/>
        <v>59.622884310932136</v>
      </c>
      <c r="Q64" s="268">
        <f t="shared" si="13"/>
        <v>212.50207485178376</v>
      </c>
      <c r="R64" s="264">
        <v>48.46296568730336</v>
      </c>
      <c r="S64" s="262">
        <f t="shared" si="14"/>
        <v>2.4967644929805175</v>
      </c>
      <c r="T64" s="506" t="s">
        <v>442</v>
      </c>
      <c r="U64" s="506"/>
      <c r="V64" s="506"/>
      <c r="W64" s="506"/>
      <c r="X64" s="506"/>
      <c r="Y64" s="506"/>
      <c r="Z64" s="506"/>
    </row>
    <row r="65" spans="1:26" x14ac:dyDescent="0.25">
      <c r="A65" s="258" t="s">
        <v>324</v>
      </c>
      <c r="B65" s="259">
        <f>150158.46/1750</f>
        <v>85.804834285714279</v>
      </c>
      <c r="C65" s="259"/>
      <c r="D65" s="259">
        <f>((+C65+B65)*0.06533)*1.1</f>
        <v>6.1661928062742861</v>
      </c>
      <c r="E65" s="259">
        <f t="shared" si="8"/>
        <v>0.99428571428571433</v>
      </c>
      <c r="F65" s="259">
        <f>1909*0.00685714285714286</f>
        <v>13.09028571428572</v>
      </c>
      <c r="G65" s="259">
        <f>(+B65+C65-D65+E65-F65)*0.0145</f>
        <v>0.97936830145187992</v>
      </c>
      <c r="H65" s="259">
        <f t="shared" si="9"/>
        <v>5.1999999999999998E-2</v>
      </c>
      <c r="I65" s="259">
        <v>0</v>
      </c>
      <c r="J65" s="259">
        <v>0</v>
      </c>
      <c r="K65" s="259">
        <f>(+B65+C65)*0.01</f>
        <v>0.85804834285714282</v>
      </c>
      <c r="L65" s="259">
        <f t="shared" si="10"/>
        <v>107.94501516486902</v>
      </c>
      <c r="M65" s="260">
        <v>0.05</v>
      </c>
      <c r="N65" s="259">
        <f t="shared" si="7"/>
        <v>5.3972507582434517</v>
      </c>
      <c r="O65" s="259">
        <f t="shared" si="11"/>
        <v>0.91753262890138687</v>
      </c>
      <c r="P65" s="261">
        <f t="shared" si="12"/>
        <v>6.3147833871448382</v>
      </c>
      <c r="Q65" s="268">
        <f t="shared" si="13"/>
        <v>108.8625477937704</v>
      </c>
      <c r="R65" s="264">
        <v>5.1498495364549859</v>
      </c>
      <c r="S65" s="262">
        <f t="shared" si="14"/>
        <v>0.2474012217884658</v>
      </c>
      <c r="T65" s="506" t="s">
        <v>444</v>
      </c>
      <c r="U65" s="506"/>
      <c r="V65" s="506"/>
      <c r="W65" s="506"/>
      <c r="X65" s="506"/>
      <c r="Y65" s="506"/>
      <c r="Z65" s="506"/>
    </row>
    <row r="66" spans="1:26" x14ac:dyDescent="0.25">
      <c r="A66" s="258" t="s">
        <v>378</v>
      </c>
      <c r="B66" s="259">
        <f>90691.15/1750</f>
        <v>51.823514285714282</v>
      </c>
      <c r="C66" s="259">
        <f>+B66*0.05</f>
        <v>2.5911757142857144</v>
      </c>
      <c r="D66" s="259">
        <f t="shared" si="15"/>
        <v>9.529699074389999</v>
      </c>
      <c r="E66" s="259">
        <f t="shared" si="8"/>
        <v>0.99428571428571433</v>
      </c>
      <c r="F66" s="259">
        <f>820.38*0.00685714285714286</f>
        <v>5.6254628571428595</v>
      </c>
      <c r="G66" s="259">
        <f>(+B66+C66-D66+E66-F66)*0.0145</f>
        <v>0.58368029984991643</v>
      </c>
      <c r="H66" s="259">
        <f t="shared" si="9"/>
        <v>5.1999999999999998E-2</v>
      </c>
      <c r="I66" s="259">
        <v>0</v>
      </c>
      <c r="J66" s="259">
        <v>0</v>
      </c>
      <c r="K66" s="259">
        <f>(+B66+C66)*0.01</f>
        <v>0.54414689999999999</v>
      </c>
      <c r="L66" s="259">
        <f t="shared" si="10"/>
        <v>71.743964845668486</v>
      </c>
      <c r="M66" s="260">
        <v>1</v>
      </c>
      <c r="N66" s="259">
        <f t="shared" si="7"/>
        <v>71.743964845668486</v>
      </c>
      <c r="O66" s="259">
        <f t="shared" si="11"/>
        <v>12.196474023763644</v>
      </c>
      <c r="P66" s="261">
        <f t="shared" si="12"/>
        <v>83.940438869432128</v>
      </c>
      <c r="Q66" s="268">
        <f t="shared" si="13"/>
        <v>83.940438869432128</v>
      </c>
      <c r="R66" s="264">
        <v>67.663854887037459</v>
      </c>
      <c r="S66" s="262">
        <f t="shared" si="14"/>
        <v>4.0801099586310272</v>
      </c>
      <c r="T66" s="506" t="s">
        <v>442</v>
      </c>
      <c r="U66" s="506"/>
      <c r="V66" s="506"/>
      <c r="W66" s="506"/>
      <c r="X66" s="506"/>
      <c r="Y66" s="506"/>
      <c r="Z66" s="506"/>
    </row>
    <row r="67" spans="1:26" ht="30.75" thickBot="1" x14ac:dyDescent="0.3">
      <c r="A67" s="58"/>
      <c r="B67" s="169"/>
      <c r="C67" s="169"/>
      <c r="D67" s="169"/>
      <c r="E67" s="169"/>
      <c r="F67" s="169"/>
      <c r="G67" s="169"/>
      <c r="H67" s="169"/>
      <c r="I67" s="169"/>
      <c r="J67" s="169"/>
      <c r="K67" s="169"/>
      <c r="L67" s="169"/>
      <c r="M67" s="169"/>
      <c r="N67" s="20"/>
      <c r="O67" s="171" t="s">
        <v>319</v>
      </c>
      <c r="P67" s="212">
        <f>SUM(P62:P66)</f>
        <v>286.52767122561443</v>
      </c>
      <c r="Q67" s="269"/>
      <c r="R67" s="265">
        <f>SUM(R62:R66)</f>
        <v>232.60423103990678</v>
      </c>
      <c r="S67" s="263"/>
      <c r="T67" s="506" t="s">
        <v>441</v>
      </c>
      <c r="U67" s="506"/>
      <c r="V67" s="506"/>
      <c r="W67" s="506"/>
      <c r="X67" s="506"/>
      <c r="Y67" s="506"/>
      <c r="Z67" s="506"/>
    </row>
    <row r="68" spans="1:26" ht="15.75" thickBot="1" x14ac:dyDescent="0.3">
      <c r="A68" s="59"/>
      <c r="B68" s="93"/>
      <c r="C68" s="93"/>
      <c r="D68" s="93"/>
      <c r="E68" s="93"/>
      <c r="F68" s="93"/>
      <c r="G68" s="93"/>
      <c r="H68" s="93"/>
      <c r="I68" s="93"/>
      <c r="J68" s="93"/>
      <c r="K68" s="93"/>
      <c r="L68" s="93"/>
      <c r="M68" s="93"/>
      <c r="N68" s="172"/>
      <c r="O68" s="173"/>
      <c r="P68" s="93"/>
    </row>
    <row r="69" spans="1:26" ht="15.75" thickBot="1" x14ac:dyDescent="0.3">
      <c r="A69" s="60" t="s">
        <v>326</v>
      </c>
      <c r="B69" s="174"/>
      <c r="C69" s="174"/>
      <c r="D69" s="174"/>
      <c r="E69" s="174"/>
      <c r="F69" s="174"/>
      <c r="G69" s="174"/>
      <c r="H69" s="174"/>
      <c r="I69" s="174"/>
      <c r="J69" s="174"/>
      <c r="K69" s="174"/>
      <c r="L69" s="174"/>
      <c r="M69" s="174"/>
      <c r="N69" s="175">
        <v>500</v>
      </c>
      <c r="O69" s="176"/>
      <c r="P69" s="177"/>
    </row>
    <row r="74" spans="1:26" x14ac:dyDescent="0.25">
      <c r="E74" s="79">
        <f>1750/12</f>
        <v>145.83333333333334</v>
      </c>
    </row>
  </sheetData>
  <mergeCells count="8">
    <mergeCell ref="T65:Z65"/>
    <mergeCell ref="T66:Z66"/>
    <mergeCell ref="T67:Z67"/>
    <mergeCell ref="T61:Z61"/>
    <mergeCell ref="C59:H59"/>
    <mergeCell ref="T62:Z62"/>
    <mergeCell ref="T63:Z63"/>
    <mergeCell ref="T64:Z64"/>
  </mergeCells>
  <pageMargins left="0.7" right="0.7" top="0.75" bottom="0.75" header="0.3" footer="0.3"/>
  <pageSetup scale="21"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P77"/>
  <sheetViews>
    <sheetView topLeftCell="B1" zoomScale="40" zoomScaleNormal="40" workbookViewId="0">
      <pane ySplit="1" topLeftCell="A20" activePane="bottomLeft" state="frozen"/>
      <selection pane="bottomLeft" activeCell="M38" activeCellId="2" sqref="I38 K38 M38"/>
    </sheetView>
  </sheetViews>
  <sheetFormatPr defaultColWidth="8.85546875" defaultRowHeight="15" x14ac:dyDescent="0.25"/>
  <cols>
    <col min="1" max="1" width="79.5703125" style="194" customWidth="1"/>
    <col min="2" max="2" width="70.85546875" style="194" customWidth="1"/>
    <col min="3" max="3" width="19.85546875" style="120" customWidth="1"/>
    <col min="4" max="4" width="19" style="120" customWidth="1"/>
    <col min="5" max="5" width="23" style="120" customWidth="1"/>
    <col min="6" max="6" width="23" style="276" customWidth="1"/>
    <col min="7" max="7" width="23" style="459" customWidth="1"/>
    <col min="8" max="8" width="19" style="276" customWidth="1"/>
    <col min="9" max="9" width="19" style="459" customWidth="1"/>
    <col min="10" max="10" width="19" style="276" customWidth="1"/>
    <col min="11" max="11" width="19" style="459" customWidth="1"/>
    <col min="12" max="12" width="19" style="276" customWidth="1"/>
    <col min="13" max="14" width="19" style="459" customWidth="1"/>
    <col min="15" max="15" width="3" style="182" customWidth="1"/>
    <col min="16" max="16" width="15.42578125" style="179" customWidth="1"/>
    <col min="17" max="17" width="21.85546875" style="179" customWidth="1"/>
    <col min="18" max="18" width="8.42578125" style="179" bestFit="1" customWidth="1"/>
    <col min="19" max="19" width="10.140625" style="179" bestFit="1" customWidth="1"/>
    <col min="20" max="20" width="9.5703125" style="179" bestFit="1" customWidth="1"/>
    <col min="21" max="21" width="8.7109375" style="179" bestFit="1" customWidth="1"/>
    <col min="22" max="22" width="8.140625" style="179" bestFit="1" customWidth="1"/>
    <col min="23" max="23" width="7.7109375" style="179" bestFit="1" customWidth="1"/>
    <col min="24" max="24" width="9.5703125" style="179" bestFit="1" customWidth="1"/>
    <col min="25" max="25" width="10.140625" style="179" bestFit="1" customWidth="1"/>
    <col min="26" max="26" width="9.5703125" style="179" bestFit="1" customWidth="1"/>
    <col min="27" max="27" width="32.28515625" style="179" bestFit="1" customWidth="1"/>
    <col min="28" max="28" width="4.85546875" style="179" bestFit="1" customWidth="1"/>
    <col min="29" max="16384" width="8.85546875" style="179"/>
  </cols>
  <sheetData>
    <row r="1" spans="1:27" ht="37.15" customHeight="1" x14ac:dyDescent="0.25">
      <c r="C1" s="276"/>
      <c r="D1" s="276"/>
      <c r="E1" s="276"/>
      <c r="F1" s="516" t="s">
        <v>479</v>
      </c>
      <c r="G1" s="516"/>
      <c r="H1" s="513" t="s">
        <v>457</v>
      </c>
      <c r="I1" s="513"/>
      <c r="J1" s="514" t="s">
        <v>456</v>
      </c>
      <c r="K1" s="514"/>
      <c r="L1" s="515" t="s">
        <v>473</v>
      </c>
      <c r="M1" s="515"/>
    </row>
    <row r="2" spans="1:27" ht="88.9" customHeight="1" x14ac:dyDescent="0.25">
      <c r="A2" s="1" t="s">
        <v>387</v>
      </c>
      <c r="B2" s="178" t="s">
        <v>172</v>
      </c>
      <c r="C2" s="4" t="s">
        <v>170</v>
      </c>
      <c r="D2" s="4" t="s">
        <v>173</v>
      </c>
      <c r="E2" s="4" t="s">
        <v>279</v>
      </c>
      <c r="F2" s="455" t="s">
        <v>458</v>
      </c>
      <c r="G2" s="457" t="s">
        <v>459</v>
      </c>
      <c r="H2" s="281" t="s">
        <v>458</v>
      </c>
      <c r="I2" s="461" t="s">
        <v>459</v>
      </c>
      <c r="J2" s="282" t="s">
        <v>458</v>
      </c>
      <c r="K2" s="463" t="s">
        <v>459</v>
      </c>
      <c r="L2" s="343" t="s">
        <v>458</v>
      </c>
      <c r="M2" s="465" t="s">
        <v>459</v>
      </c>
      <c r="N2" s="468" t="s">
        <v>214</v>
      </c>
      <c r="O2" s="5"/>
    </row>
    <row r="3" spans="1:27" s="184" customFormat="1" x14ac:dyDescent="0.25">
      <c r="A3" s="180" t="s">
        <v>208</v>
      </c>
      <c r="B3" s="180"/>
      <c r="C3" s="181"/>
      <c r="D3" s="181"/>
      <c r="E3" s="181"/>
      <c r="F3" s="181"/>
      <c r="G3" s="364"/>
      <c r="H3" s="181"/>
      <c r="I3" s="364"/>
      <c r="J3" s="181"/>
      <c r="K3" s="364"/>
      <c r="L3" s="181"/>
      <c r="M3" s="364"/>
      <c r="N3" s="364"/>
      <c r="O3" s="182"/>
      <c r="P3" s="183"/>
      <c r="Q3" s="183"/>
      <c r="R3" s="183"/>
      <c r="S3" s="183"/>
      <c r="T3" s="183"/>
      <c r="U3" s="183"/>
      <c r="V3" s="183"/>
      <c r="W3" s="183"/>
      <c r="X3" s="183"/>
      <c r="Y3" s="183"/>
      <c r="Z3" s="183"/>
      <c r="AA3" s="183"/>
    </row>
    <row r="4" spans="1:27" s="183" customFormat="1" ht="31.9" customHeight="1" x14ac:dyDescent="0.25">
      <c r="A4" s="200" t="s">
        <v>255</v>
      </c>
      <c r="B4" s="200" t="s">
        <v>253</v>
      </c>
      <c r="C4" s="277" t="s">
        <v>171</v>
      </c>
      <c r="D4" s="277">
        <v>50</v>
      </c>
      <c r="E4" s="278">
        <f>+'FORA Loaded Hourly'!D$12</f>
        <v>245.38150000000002</v>
      </c>
      <c r="F4" s="277">
        <v>50</v>
      </c>
      <c r="G4" s="367">
        <f>+E4*F4</f>
        <v>12269.075000000001</v>
      </c>
      <c r="H4" s="277"/>
      <c r="I4" s="367">
        <f>+H4*E4</f>
        <v>0</v>
      </c>
      <c r="J4" s="277"/>
      <c r="K4" s="367"/>
      <c r="L4" s="204"/>
      <c r="M4" s="466"/>
      <c r="N4" s="367">
        <f>D4*E4</f>
        <v>12269.075000000001</v>
      </c>
      <c r="O4" s="182"/>
    </row>
    <row r="5" spans="1:27" s="183" customFormat="1" ht="31.9" customHeight="1" x14ac:dyDescent="0.25">
      <c r="A5" s="200" t="s">
        <v>0</v>
      </c>
      <c r="B5" s="200" t="s">
        <v>254</v>
      </c>
      <c r="C5" s="277" t="s">
        <v>171</v>
      </c>
      <c r="D5" s="277">
        <v>56</v>
      </c>
      <c r="E5" s="278">
        <f>+'FORA Loaded Hourly'!D$12</f>
        <v>245.38150000000002</v>
      </c>
      <c r="F5" s="277">
        <v>56</v>
      </c>
      <c r="G5" s="367">
        <f>+E5*F5</f>
        <v>13741.364000000001</v>
      </c>
      <c r="H5" s="277"/>
      <c r="I5" s="367">
        <f>+H5*E5</f>
        <v>0</v>
      </c>
      <c r="J5" s="277"/>
      <c r="K5" s="367"/>
      <c r="L5" s="204"/>
      <c r="M5" s="466"/>
      <c r="N5" s="367">
        <f t="shared" ref="N5" si="0">D5*E5</f>
        <v>13741.364000000001</v>
      </c>
      <c r="O5" s="182"/>
    </row>
    <row r="6" spans="1:27" ht="31.9" customHeight="1" x14ac:dyDescent="0.25">
      <c r="A6" s="185" t="s">
        <v>204</v>
      </c>
      <c r="B6" s="186"/>
      <c r="C6" s="187"/>
      <c r="D6" s="187"/>
      <c r="E6" s="187"/>
      <c r="F6" s="187"/>
      <c r="G6" s="368"/>
      <c r="H6" s="187"/>
      <c r="I6" s="368"/>
      <c r="J6" s="187"/>
      <c r="K6" s="368"/>
      <c r="L6" s="342"/>
      <c r="M6" s="366"/>
      <c r="N6" s="368">
        <f>SUBTOTAL(9,N4:N5)</f>
        <v>26010.439000000002</v>
      </c>
    </row>
    <row r="7" spans="1:27" x14ac:dyDescent="0.25">
      <c r="A7" s="180" t="s">
        <v>1</v>
      </c>
      <c r="B7" s="180"/>
      <c r="C7" s="181"/>
      <c r="D7" s="181"/>
      <c r="E7" s="181"/>
      <c r="F7" s="181"/>
      <c r="G7" s="364"/>
      <c r="H7" s="181"/>
      <c r="I7" s="364"/>
      <c r="J7" s="181"/>
      <c r="K7" s="364"/>
      <c r="L7" s="181"/>
      <c r="M7" s="364"/>
      <c r="N7" s="364"/>
    </row>
    <row r="8" spans="1:27" s="183" customFormat="1" ht="34.9" customHeight="1" x14ac:dyDescent="0.25">
      <c r="A8" s="200" t="s">
        <v>257</v>
      </c>
      <c r="B8" s="200" t="s">
        <v>453</v>
      </c>
      <c r="C8" s="277" t="s">
        <v>171</v>
      </c>
      <c r="D8" s="277">
        <v>224</v>
      </c>
      <c r="E8" s="278">
        <f>+'FORA Loaded Hourly'!D$12</f>
        <v>245.38150000000002</v>
      </c>
      <c r="F8" s="278"/>
      <c r="G8" s="367"/>
      <c r="H8" s="277"/>
      <c r="I8" s="367">
        <f t="shared" ref="I8:I12" si="1">+H8*E8</f>
        <v>0</v>
      </c>
      <c r="J8" s="277">
        <v>224</v>
      </c>
      <c r="K8" s="367">
        <f>+J8*E8</f>
        <v>54965.456000000006</v>
      </c>
      <c r="L8" s="277"/>
      <c r="M8" s="367">
        <f t="shared" ref="M8:M12" si="2">+L8*E8</f>
        <v>0</v>
      </c>
      <c r="N8" s="367">
        <f>D8*E8</f>
        <v>54965.456000000006</v>
      </c>
      <c r="O8" s="182"/>
      <c r="Q8" s="394"/>
    </row>
    <row r="9" spans="1:27" s="183" customFormat="1" ht="30" customHeight="1" x14ac:dyDescent="0.25">
      <c r="A9" s="200" t="s">
        <v>2</v>
      </c>
      <c r="B9" s="200" t="s">
        <v>383</v>
      </c>
      <c r="C9" s="277" t="s">
        <v>171</v>
      </c>
      <c r="D9" s="277">
        <f>2*69</f>
        <v>138</v>
      </c>
      <c r="E9" s="278">
        <f>+'FORA Loaded Hourly'!D$12</f>
        <v>245.38150000000002</v>
      </c>
      <c r="F9" s="278"/>
      <c r="G9" s="367"/>
      <c r="H9" s="277"/>
      <c r="I9" s="367">
        <f t="shared" si="1"/>
        <v>0</v>
      </c>
      <c r="J9" s="277">
        <v>138</v>
      </c>
      <c r="K9" s="367">
        <f>+J9*E9</f>
        <v>33862.647000000004</v>
      </c>
      <c r="L9" s="277"/>
      <c r="M9" s="367"/>
      <c r="N9" s="367">
        <f>D9*E9</f>
        <v>33862.647000000004</v>
      </c>
      <c r="O9" s="182"/>
    </row>
    <row r="10" spans="1:27" s="183" customFormat="1" ht="30" customHeight="1" x14ac:dyDescent="0.25">
      <c r="A10" s="200" t="s">
        <v>3</v>
      </c>
      <c r="B10" s="200" t="s">
        <v>383</v>
      </c>
      <c r="C10" s="277" t="s">
        <v>171</v>
      </c>
      <c r="D10" s="277">
        <f>2*69</f>
        <v>138</v>
      </c>
      <c r="E10" s="278">
        <v>226.9</v>
      </c>
      <c r="F10" s="278"/>
      <c r="G10" s="367"/>
      <c r="H10" s="277">
        <v>138</v>
      </c>
      <c r="I10" s="367">
        <f>+H10*E10</f>
        <v>31312.2</v>
      </c>
      <c r="J10" s="277"/>
      <c r="K10" s="367">
        <f>+J10*E10</f>
        <v>0</v>
      </c>
      <c r="L10" s="204"/>
      <c r="M10" s="466"/>
      <c r="N10" s="367">
        <f>D10*E10</f>
        <v>31312.2</v>
      </c>
      <c r="O10" s="182"/>
    </row>
    <row r="11" spans="1:27" s="183" customFormat="1" ht="30" customHeight="1" x14ac:dyDescent="0.25">
      <c r="A11" s="200" t="s">
        <v>4</v>
      </c>
      <c r="B11" s="200" t="s">
        <v>403</v>
      </c>
      <c r="C11" s="277" t="s">
        <v>171</v>
      </c>
      <c r="D11" s="277">
        <v>39</v>
      </c>
      <c r="E11" s="278">
        <v>226.9</v>
      </c>
      <c r="F11" s="278"/>
      <c r="G11" s="367"/>
      <c r="H11" s="277">
        <v>39</v>
      </c>
      <c r="I11" s="367">
        <f>+H11*E11</f>
        <v>8849.1</v>
      </c>
      <c r="J11" s="277"/>
      <c r="K11" s="367">
        <f t="shared" ref="K11" si="3">+J11*E11</f>
        <v>0</v>
      </c>
      <c r="L11" s="204"/>
      <c r="M11" s="466"/>
      <c r="N11" s="367">
        <f t="shared" ref="N11:N17" si="4">D11*E11</f>
        <v>8849.1</v>
      </c>
      <c r="O11" s="182"/>
    </row>
    <row r="12" spans="1:27" s="183" customFormat="1" ht="30" customHeight="1" x14ac:dyDescent="0.25">
      <c r="A12" s="200" t="s">
        <v>421</v>
      </c>
      <c r="B12" s="200" t="s">
        <v>201</v>
      </c>
      <c r="C12" s="277" t="s">
        <v>171</v>
      </c>
      <c r="D12" s="277">
        <v>819</v>
      </c>
      <c r="E12" s="280">
        <f>+'FORA Loaded Hourly'!D12</f>
        <v>245.38150000000002</v>
      </c>
      <c r="F12" s="280"/>
      <c r="G12" s="367"/>
      <c r="H12" s="277"/>
      <c r="I12" s="367">
        <f t="shared" si="1"/>
        <v>0</v>
      </c>
      <c r="J12" s="277">
        <v>819</v>
      </c>
      <c r="K12" s="367">
        <f>+J12*E12</f>
        <v>200967.44850000003</v>
      </c>
      <c r="L12" s="277"/>
      <c r="M12" s="367">
        <f t="shared" si="2"/>
        <v>0</v>
      </c>
      <c r="N12" s="367">
        <f t="shared" si="4"/>
        <v>200967.44850000003</v>
      </c>
      <c r="O12" s="182"/>
    </row>
    <row r="13" spans="1:27" s="183" customFormat="1" ht="30" customHeight="1" x14ac:dyDescent="0.25">
      <c r="A13" s="200" t="s">
        <v>202</v>
      </c>
      <c r="B13" s="200"/>
      <c r="C13" s="277"/>
      <c r="D13" s="277"/>
      <c r="E13" s="278">
        <f>$E$9</f>
        <v>245.38150000000002</v>
      </c>
      <c r="F13" s="278"/>
      <c r="G13" s="367"/>
      <c r="H13" s="277"/>
      <c r="I13" s="367">
        <f t="shared" ref="I13:I17" si="5">+H13*E13</f>
        <v>0</v>
      </c>
      <c r="J13" s="277"/>
      <c r="K13" s="367">
        <f t="shared" ref="K13:K17" si="6">+J13*E13</f>
        <v>0</v>
      </c>
      <c r="L13" s="277"/>
      <c r="M13" s="367">
        <f t="shared" ref="M13:M17" si="7">+L13*E13</f>
        <v>0</v>
      </c>
      <c r="N13" s="367">
        <f t="shared" si="4"/>
        <v>0</v>
      </c>
      <c r="O13" s="182"/>
    </row>
    <row r="14" spans="1:27" s="183" customFormat="1" ht="30" customHeight="1" x14ac:dyDescent="0.25">
      <c r="A14" s="200" t="s">
        <v>5</v>
      </c>
      <c r="B14" s="200" t="s">
        <v>384</v>
      </c>
      <c r="C14" s="277" t="s">
        <v>171</v>
      </c>
      <c r="D14" s="277">
        <v>78</v>
      </c>
      <c r="E14" s="278">
        <v>226.9</v>
      </c>
      <c r="F14" s="278"/>
      <c r="G14" s="367"/>
      <c r="H14" s="277">
        <v>78</v>
      </c>
      <c r="I14" s="367">
        <f>+H14*E14</f>
        <v>17698.2</v>
      </c>
      <c r="J14" s="277"/>
      <c r="K14" s="367">
        <f t="shared" si="6"/>
        <v>0</v>
      </c>
      <c r="L14" s="204"/>
      <c r="M14" s="466"/>
      <c r="N14" s="367">
        <f t="shared" si="4"/>
        <v>17698.2</v>
      </c>
      <c r="O14" s="182"/>
    </row>
    <row r="15" spans="1:27" s="183" customFormat="1" ht="30" customHeight="1" x14ac:dyDescent="0.25">
      <c r="A15" s="200" t="s">
        <v>6</v>
      </c>
      <c r="B15" s="200" t="s">
        <v>384</v>
      </c>
      <c r="C15" s="277" t="s">
        <v>171</v>
      </c>
      <c r="D15" s="277">
        <v>78</v>
      </c>
      <c r="E15" s="278">
        <v>226.9</v>
      </c>
      <c r="F15" s="278"/>
      <c r="G15" s="367"/>
      <c r="H15" s="277">
        <v>78</v>
      </c>
      <c r="I15" s="367">
        <f>+H15*E15</f>
        <v>17698.2</v>
      </c>
      <c r="J15" s="277"/>
      <c r="K15" s="367">
        <f t="shared" si="6"/>
        <v>0</v>
      </c>
      <c r="L15" s="204"/>
      <c r="M15" s="466"/>
      <c r="N15" s="367">
        <f t="shared" si="4"/>
        <v>17698.2</v>
      </c>
      <c r="O15" s="182"/>
    </row>
    <row r="16" spans="1:27" s="183" customFormat="1" ht="30" customHeight="1" x14ac:dyDescent="0.25">
      <c r="A16" s="200" t="s">
        <v>7</v>
      </c>
      <c r="B16" s="200" t="s">
        <v>384</v>
      </c>
      <c r="C16" s="277" t="s">
        <v>171</v>
      </c>
      <c r="D16" s="277">
        <v>78</v>
      </c>
      <c r="E16" s="278">
        <v>226.9</v>
      </c>
      <c r="F16" s="278"/>
      <c r="G16" s="367"/>
      <c r="H16" s="277">
        <v>78</v>
      </c>
      <c r="I16" s="367">
        <f>+H16*E16</f>
        <v>17698.2</v>
      </c>
      <c r="J16" s="277"/>
      <c r="K16" s="367">
        <f t="shared" si="6"/>
        <v>0</v>
      </c>
      <c r="L16" s="204"/>
      <c r="M16" s="466"/>
      <c r="N16" s="367">
        <f t="shared" si="4"/>
        <v>17698.2</v>
      </c>
      <c r="O16" s="182"/>
    </row>
    <row r="17" spans="1:42" s="183" customFormat="1" ht="30" customHeight="1" x14ac:dyDescent="0.25">
      <c r="A17" s="200" t="s">
        <v>8</v>
      </c>
      <c r="B17" s="200" t="s">
        <v>256</v>
      </c>
      <c r="C17" s="277" t="s">
        <v>171</v>
      </c>
      <c r="D17" s="277">
        <v>234</v>
      </c>
      <c r="E17" s="278">
        <v>159.56</v>
      </c>
      <c r="F17" s="278"/>
      <c r="G17" s="367"/>
      <c r="H17" s="277"/>
      <c r="I17" s="367">
        <f t="shared" si="5"/>
        <v>0</v>
      </c>
      <c r="J17" s="277"/>
      <c r="K17" s="367">
        <f t="shared" si="6"/>
        <v>0</v>
      </c>
      <c r="L17" s="277">
        <v>234</v>
      </c>
      <c r="M17" s="367">
        <f t="shared" si="7"/>
        <v>37337.040000000001</v>
      </c>
      <c r="N17" s="367">
        <f t="shared" si="4"/>
        <v>37337.040000000001</v>
      </c>
      <c r="O17" s="182"/>
    </row>
    <row r="18" spans="1:42" ht="30" customHeight="1" x14ac:dyDescent="0.25">
      <c r="A18" s="185" t="s">
        <v>203</v>
      </c>
      <c r="B18" s="186"/>
      <c r="C18" s="187"/>
      <c r="D18" s="187"/>
      <c r="E18" s="187"/>
      <c r="F18" s="187"/>
      <c r="G18" s="368"/>
      <c r="H18" s="187"/>
      <c r="I18" s="368"/>
      <c r="J18" s="187"/>
      <c r="K18" s="368"/>
      <c r="L18" s="187"/>
      <c r="M18" s="368"/>
      <c r="N18" s="368">
        <f>SUBTOTAL(9,N8:N17)</f>
        <v>420388.49150000006</v>
      </c>
    </row>
    <row r="19" spans="1:42" x14ac:dyDescent="0.25">
      <c r="A19" s="180" t="s">
        <v>9</v>
      </c>
      <c r="B19" s="180"/>
      <c r="C19" s="181"/>
      <c r="D19" s="181"/>
      <c r="E19" s="181"/>
      <c r="F19" s="181"/>
      <c r="G19" s="364"/>
      <c r="H19" s="181"/>
      <c r="I19" s="364"/>
      <c r="J19" s="181"/>
      <c r="K19" s="364"/>
      <c r="L19" s="181"/>
      <c r="M19" s="364"/>
      <c r="N19" s="364"/>
    </row>
    <row r="20" spans="1:42" s="183" customFormat="1" x14ac:dyDescent="0.25">
      <c r="A20" s="200" t="s">
        <v>10</v>
      </c>
      <c r="B20" s="200" t="s">
        <v>404</v>
      </c>
      <c r="C20" s="277" t="s">
        <v>171</v>
      </c>
      <c r="D20" s="277">
        <v>160</v>
      </c>
      <c r="E20" s="278">
        <v>159.56</v>
      </c>
      <c r="F20" s="278"/>
      <c r="G20" s="367"/>
      <c r="H20" s="277"/>
      <c r="I20" s="367">
        <f>+H20*E20</f>
        <v>0</v>
      </c>
      <c r="J20" s="277"/>
      <c r="K20" s="367">
        <f>+J20*E20</f>
        <v>0</v>
      </c>
      <c r="L20" s="277">
        <v>160</v>
      </c>
      <c r="M20" s="367">
        <f>+L20*E20</f>
        <v>25529.599999999999</v>
      </c>
      <c r="N20" s="367">
        <f>D20*E20</f>
        <v>25529.599999999999</v>
      </c>
      <c r="O20" s="182"/>
    </row>
    <row r="21" spans="1:42" s="183" customFormat="1" x14ac:dyDescent="0.25">
      <c r="A21" s="200" t="s">
        <v>11</v>
      </c>
      <c r="B21" s="200" t="s">
        <v>405</v>
      </c>
      <c r="C21" s="277" t="s">
        <v>171</v>
      </c>
      <c r="D21" s="277">
        <v>320</v>
      </c>
      <c r="E21" s="278">
        <v>159.56</v>
      </c>
      <c r="F21" s="278"/>
      <c r="G21" s="367"/>
      <c r="H21" s="277"/>
      <c r="I21" s="367">
        <f t="shared" ref="I21:I22" si="8">+H21*E21</f>
        <v>0</v>
      </c>
      <c r="J21" s="277"/>
      <c r="K21" s="367">
        <f>+J21*E21</f>
        <v>0</v>
      </c>
      <c r="L21" s="277">
        <v>320</v>
      </c>
      <c r="M21" s="367">
        <f>+L21*E21</f>
        <v>51059.199999999997</v>
      </c>
      <c r="N21" s="367">
        <f t="shared" ref="N21:N22" si="9">D21*E21</f>
        <v>51059.199999999997</v>
      </c>
      <c r="O21" s="182"/>
    </row>
    <row r="22" spans="1:42" s="183" customFormat="1" ht="30" x14ac:dyDescent="0.25">
      <c r="A22" s="200" t="s">
        <v>258</v>
      </c>
      <c r="B22" s="200" t="s">
        <v>452</v>
      </c>
      <c r="C22" s="277" t="s">
        <v>171</v>
      </c>
      <c r="D22" s="277">
        <v>224</v>
      </c>
      <c r="E22" s="278">
        <v>226.9</v>
      </c>
      <c r="F22" s="278"/>
      <c r="G22" s="367"/>
      <c r="H22" s="277">
        <v>224</v>
      </c>
      <c r="I22" s="367">
        <f t="shared" si="8"/>
        <v>50825.599999999999</v>
      </c>
      <c r="J22" s="277"/>
      <c r="K22" s="367">
        <f>+J22*E22</f>
        <v>0</v>
      </c>
      <c r="L22" s="277"/>
      <c r="M22" s="367">
        <f>+L22*E22</f>
        <v>0</v>
      </c>
      <c r="N22" s="367">
        <f t="shared" si="9"/>
        <v>50825.599999999999</v>
      </c>
      <c r="O22" s="182"/>
      <c r="P22" s="189"/>
      <c r="Q22" s="189"/>
      <c r="R22" s="189"/>
      <c r="S22" s="189"/>
      <c r="T22" s="189"/>
      <c r="U22" s="189"/>
      <c r="V22" s="189"/>
      <c r="W22" s="189"/>
      <c r="X22" s="189"/>
      <c r="Y22" s="189"/>
      <c r="Z22" s="189"/>
      <c r="AA22" s="189"/>
      <c r="AB22" s="189"/>
    </row>
    <row r="23" spans="1:42" ht="27.6" customHeight="1" x14ac:dyDescent="0.25">
      <c r="A23" s="185" t="s">
        <v>216</v>
      </c>
      <c r="B23" s="186"/>
      <c r="C23" s="187"/>
      <c r="D23" s="187"/>
      <c r="E23" s="7"/>
      <c r="F23" s="7"/>
      <c r="G23" s="368"/>
      <c r="H23" s="7"/>
      <c r="I23" s="368"/>
      <c r="J23" s="187"/>
      <c r="K23" s="368"/>
      <c r="L23" s="187"/>
      <c r="M23" s="368"/>
      <c r="N23" s="368">
        <f>SUBTOTAL(9,N20:N22)</f>
        <v>127414.39999999999</v>
      </c>
      <c r="P23" s="189"/>
      <c r="Q23" s="189"/>
      <c r="R23" s="189"/>
      <c r="S23" s="189"/>
      <c r="T23" s="189"/>
      <c r="U23" s="189"/>
      <c r="V23" s="189"/>
      <c r="W23" s="189"/>
      <c r="X23" s="189"/>
      <c r="Y23" s="189"/>
      <c r="Z23" s="189"/>
      <c r="AA23" s="189"/>
      <c r="AB23" s="189"/>
    </row>
    <row r="24" spans="1:42" x14ac:dyDescent="0.25">
      <c r="A24" s="180" t="s">
        <v>12</v>
      </c>
      <c r="B24" s="180"/>
      <c r="C24" s="181"/>
      <c r="D24" s="181"/>
      <c r="E24" s="181"/>
      <c r="F24" s="181"/>
      <c r="G24" s="364"/>
      <c r="H24" s="181"/>
      <c r="I24" s="364"/>
      <c r="J24" s="181"/>
      <c r="K24" s="364"/>
      <c r="L24" s="181"/>
      <c r="M24" s="364"/>
      <c r="N24" s="364"/>
      <c r="P24" s="189"/>
      <c r="Q24" s="189"/>
      <c r="R24" s="189"/>
      <c r="S24" s="189"/>
      <c r="T24" s="189"/>
      <c r="U24" s="189"/>
      <c r="V24" s="189"/>
      <c r="W24" s="189"/>
      <c r="X24" s="189"/>
      <c r="Y24" s="189"/>
      <c r="Z24" s="189"/>
      <c r="AA24" s="189"/>
      <c r="AB24" s="189"/>
    </row>
    <row r="25" spans="1:42" s="183" customFormat="1" ht="30" x14ac:dyDescent="0.25">
      <c r="A25" s="200" t="s">
        <v>259</v>
      </c>
      <c r="B25" s="200" t="s">
        <v>451</v>
      </c>
      <c r="C25" s="277" t="s">
        <v>171</v>
      </c>
      <c r="D25" s="277">
        <v>448</v>
      </c>
      <c r="E25" s="278">
        <v>226.9</v>
      </c>
      <c r="F25" s="278"/>
      <c r="G25" s="367"/>
      <c r="H25" s="277">
        <v>448</v>
      </c>
      <c r="I25" s="367">
        <f>+H25*E25</f>
        <v>101651.2</v>
      </c>
      <c r="J25" s="277"/>
      <c r="K25" s="367">
        <f t="shared" ref="K25" si="10">+J25*E25</f>
        <v>0</v>
      </c>
      <c r="L25" s="277"/>
      <c r="M25" s="367">
        <f>+L25*E25</f>
        <v>0</v>
      </c>
      <c r="N25" s="367">
        <f>D25*E25</f>
        <v>101651.2</v>
      </c>
      <c r="O25" s="182"/>
      <c r="P25" s="189"/>
      <c r="Q25" s="189"/>
      <c r="R25" s="189"/>
      <c r="S25" s="189"/>
      <c r="T25" s="189"/>
      <c r="U25" s="189"/>
      <c r="V25" s="189"/>
      <c r="W25" s="189"/>
      <c r="X25" s="189"/>
      <c r="Y25" s="189"/>
      <c r="Z25" s="189"/>
      <c r="AA25" s="189"/>
      <c r="AB25" s="189"/>
    </row>
    <row r="26" spans="1:42" x14ac:dyDescent="0.25">
      <c r="A26" s="185" t="s">
        <v>209</v>
      </c>
      <c r="B26" s="186"/>
      <c r="C26" s="187"/>
      <c r="D26" s="187"/>
      <c r="E26" s="7"/>
      <c r="F26" s="7"/>
      <c r="G26" s="368"/>
      <c r="H26" s="7"/>
      <c r="I26" s="368"/>
      <c r="J26" s="187"/>
      <c r="K26" s="368"/>
      <c r="L26" s="187"/>
      <c r="M26" s="368"/>
      <c r="N26" s="368">
        <f>SUBTOTAL(9,N25)</f>
        <v>101651.2</v>
      </c>
      <c r="P26" s="189"/>
      <c r="Q26" s="189"/>
      <c r="R26" s="189"/>
      <c r="S26" s="189"/>
      <c r="T26" s="189"/>
      <c r="U26" s="189"/>
      <c r="V26" s="189"/>
      <c r="W26" s="189"/>
      <c r="X26" s="189"/>
      <c r="Y26" s="189"/>
      <c r="Z26" s="189"/>
      <c r="AA26" s="189"/>
      <c r="AB26" s="189"/>
    </row>
    <row r="27" spans="1:42" x14ac:dyDescent="0.25">
      <c r="A27" s="180" t="s">
        <v>13</v>
      </c>
      <c r="B27" s="180"/>
      <c r="C27" s="181"/>
      <c r="D27" s="181"/>
      <c r="E27" s="181"/>
      <c r="F27" s="181"/>
      <c r="G27" s="364"/>
      <c r="H27" s="181"/>
      <c r="I27" s="364"/>
      <c r="J27" s="181"/>
      <c r="K27" s="364"/>
      <c r="L27" s="181"/>
      <c r="M27" s="364"/>
      <c r="N27" s="364"/>
      <c r="P27" s="189"/>
      <c r="Q27" s="189"/>
      <c r="R27" s="189"/>
      <c r="S27" s="189"/>
      <c r="T27" s="189"/>
      <c r="U27" s="189"/>
      <c r="V27" s="189"/>
      <c r="W27" s="189"/>
      <c r="X27" s="189"/>
      <c r="Y27" s="189"/>
      <c r="Z27" s="189"/>
      <c r="AA27" s="189"/>
      <c r="AB27" s="189"/>
    </row>
    <row r="28" spans="1:42" s="183" customFormat="1" x14ac:dyDescent="0.25">
      <c r="A28" s="200" t="s">
        <v>14</v>
      </c>
      <c r="B28" s="200" t="s">
        <v>261</v>
      </c>
      <c r="C28" s="277"/>
      <c r="D28" s="277"/>
      <c r="E28" s="277"/>
      <c r="F28" s="277"/>
      <c r="G28" s="367"/>
      <c r="H28" s="277"/>
      <c r="I28" s="367"/>
      <c r="J28" s="277"/>
      <c r="K28" s="367"/>
      <c r="L28" s="277"/>
      <c r="M28" s="367"/>
      <c r="N28" s="367"/>
      <c r="O28" s="182"/>
      <c r="P28" s="189"/>
      <c r="Q28" s="189"/>
      <c r="R28" s="189"/>
      <c r="S28" s="189"/>
      <c r="T28" s="189"/>
      <c r="U28" s="189"/>
      <c r="V28" s="189"/>
      <c r="W28" s="189"/>
      <c r="X28" s="189"/>
      <c r="Y28" s="189"/>
      <c r="Z28" s="189"/>
      <c r="AA28" s="189"/>
      <c r="AB28" s="189"/>
    </row>
    <row r="29" spans="1:42" x14ac:dyDescent="0.25">
      <c r="A29" s="185" t="s">
        <v>205</v>
      </c>
      <c r="B29" s="186"/>
      <c r="C29" s="187"/>
      <c r="D29" s="187"/>
      <c r="E29" s="187"/>
      <c r="F29" s="187"/>
      <c r="G29" s="368"/>
      <c r="H29" s="187"/>
      <c r="I29" s="368"/>
      <c r="J29" s="187"/>
      <c r="K29" s="368"/>
      <c r="L29" s="187"/>
      <c r="M29" s="368"/>
      <c r="N29" s="368"/>
      <c r="P29" s="189"/>
      <c r="Q29" s="189"/>
      <c r="R29" s="189"/>
      <c r="S29" s="189"/>
      <c r="T29" s="189"/>
      <c r="U29" s="189"/>
      <c r="V29" s="189"/>
      <c r="W29" s="189"/>
      <c r="X29" s="189"/>
      <c r="Y29" s="189"/>
      <c r="Z29" s="189"/>
      <c r="AA29" s="189"/>
      <c r="AB29" s="189"/>
      <c r="AC29" s="183"/>
      <c r="AD29" s="183"/>
      <c r="AE29" s="183"/>
      <c r="AF29" s="183"/>
      <c r="AG29" s="183"/>
      <c r="AH29" s="183"/>
      <c r="AI29" s="183"/>
      <c r="AJ29" s="183"/>
      <c r="AK29" s="183"/>
      <c r="AL29" s="183"/>
      <c r="AM29" s="183"/>
      <c r="AN29" s="183"/>
      <c r="AO29" s="183"/>
      <c r="AP29" s="183"/>
    </row>
    <row r="30" spans="1:42" x14ac:dyDescent="0.25">
      <c r="A30" s="180" t="s">
        <v>15</v>
      </c>
      <c r="B30" s="180"/>
      <c r="C30" s="181"/>
      <c r="D30" s="181"/>
      <c r="E30" s="181"/>
      <c r="F30" s="181"/>
      <c r="G30" s="364"/>
      <c r="H30" s="181"/>
      <c r="I30" s="364"/>
      <c r="J30" s="181"/>
      <c r="K30" s="364"/>
      <c r="L30" s="181"/>
      <c r="M30" s="364"/>
      <c r="N30" s="364"/>
      <c r="P30" s="8"/>
      <c r="Q30" s="8"/>
      <c r="R30" s="8"/>
      <c r="S30" s="8"/>
      <c r="T30" s="8"/>
      <c r="U30" s="8"/>
      <c r="V30" s="8"/>
      <c r="W30" s="8"/>
      <c r="X30" s="8"/>
      <c r="Y30" s="9"/>
      <c r="Z30" s="8"/>
      <c r="AA30" s="189"/>
      <c r="AB30" s="189"/>
      <c r="AC30" s="183"/>
      <c r="AD30" s="183"/>
      <c r="AE30" s="183"/>
      <c r="AF30" s="183"/>
      <c r="AG30" s="183"/>
      <c r="AH30" s="183"/>
      <c r="AI30" s="183"/>
      <c r="AJ30" s="183"/>
      <c r="AK30" s="183"/>
      <c r="AL30" s="183"/>
      <c r="AM30" s="183"/>
      <c r="AN30" s="183"/>
      <c r="AO30" s="183"/>
      <c r="AP30" s="183"/>
    </row>
    <row r="31" spans="1:42" s="183" customFormat="1" x14ac:dyDescent="0.25">
      <c r="A31" s="200" t="s">
        <v>16</v>
      </c>
      <c r="B31" s="200" t="s">
        <v>403</v>
      </c>
      <c r="C31" s="277" t="s">
        <v>171</v>
      </c>
      <c r="D31" s="277">
        <v>39</v>
      </c>
      <c r="E31" s="278">
        <v>159.56</v>
      </c>
      <c r="F31" s="278"/>
      <c r="G31" s="367"/>
      <c r="H31" s="277"/>
      <c r="I31" s="367">
        <f t="shared" ref="I31:I36" si="11">+H31*E31</f>
        <v>0</v>
      </c>
      <c r="J31" s="277"/>
      <c r="K31" s="367">
        <f t="shared" ref="K31:K36" si="12">+J31*E31</f>
        <v>0</v>
      </c>
      <c r="L31" s="277">
        <v>39</v>
      </c>
      <c r="M31" s="367">
        <f t="shared" ref="M31:M36" si="13">+L31*E31</f>
        <v>6222.84</v>
      </c>
      <c r="N31" s="367">
        <f>D31*E31</f>
        <v>6222.84</v>
      </c>
      <c r="O31" s="182"/>
      <c r="P31" s="8"/>
      <c r="Q31" s="8"/>
      <c r="R31" s="8"/>
      <c r="S31" s="8"/>
      <c r="T31" s="8"/>
      <c r="U31" s="8"/>
      <c r="V31" s="8"/>
      <c r="W31" s="8"/>
      <c r="X31" s="8"/>
      <c r="Y31" s="189"/>
      <c r="Z31" s="8"/>
      <c r="AA31" s="189"/>
      <c r="AB31" s="189"/>
    </row>
    <row r="32" spans="1:42" s="183" customFormat="1" ht="29.45" customHeight="1" x14ac:dyDescent="0.25">
      <c r="A32" s="200" t="s">
        <v>17</v>
      </c>
      <c r="B32" s="200" t="s">
        <v>403</v>
      </c>
      <c r="C32" s="277" t="s">
        <v>171</v>
      </c>
      <c r="D32" s="277">
        <v>39</v>
      </c>
      <c r="E32" s="278">
        <v>159.56</v>
      </c>
      <c r="F32" s="278"/>
      <c r="G32" s="367"/>
      <c r="H32" s="277"/>
      <c r="I32" s="367">
        <f t="shared" si="11"/>
        <v>0</v>
      </c>
      <c r="J32" s="277"/>
      <c r="K32" s="367">
        <f t="shared" si="12"/>
        <v>0</v>
      </c>
      <c r="L32" s="277">
        <v>39</v>
      </c>
      <c r="M32" s="367">
        <f t="shared" si="13"/>
        <v>6222.84</v>
      </c>
      <c r="N32" s="367">
        <f t="shared" ref="N32:N36" si="14">D32*E32</f>
        <v>6222.84</v>
      </c>
      <c r="O32" s="182"/>
      <c r="P32" s="8"/>
      <c r="Q32" s="8"/>
      <c r="R32" s="8"/>
      <c r="S32" s="8"/>
      <c r="T32" s="8"/>
      <c r="U32" s="8"/>
      <c r="V32" s="8"/>
      <c r="W32" s="8"/>
      <c r="X32" s="8"/>
      <c r="Y32" s="189"/>
      <c r="Z32" s="8"/>
      <c r="AA32" s="189"/>
      <c r="AB32" s="189"/>
    </row>
    <row r="33" spans="1:28" s="183" customFormat="1" ht="29.45" customHeight="1" x14ac:dyDescent="0.25">
      <c r="A33" s="200" t="s">
        <v>18</v>
      </c>
      <c r="B33" s="200" t="s">
        <v>454</v>
      </c>
      <c r="C33" s="277" t="s">
        <v>171</v>
      </c>
      <c r="D33" s="277">
        <v>78</v>
      </c>
      <c r="E33" s="278">
        <v>159.56</v>
      </c>
      <c r="F33" s="278"/>
      <c r="G33" s="367"/>
      <c r="H33" s="277"/>
      <c r="I33" s="367">
        <f t="shared" si="11"/>
        <v>0</v>
      </c>
      <c r="J33" s="277"/>
      <c r="K33" s="367">
        <f t="shared" si="12"/>
        <v>0</v>
      </c>
      <c r="L33" s="277">
        <v>78</v>
      </c>
      <c r="M33" s="367">
        <f t="shared" si="13"/>
        <v>12445.68</v>
      </c>
      <c r="N33" s="367">
        <f t="shared" si="14"/>
        <v>12445.68</v>
      </c>
      <c r="O33" s="182"/>
      <c r="P33" s="8"/>
      <c r="Q33" s="8"/>
      <c r="R33" s="8"/>
      <c r="S33" s="8"/>
      <c r="T33" s="8"/>
      <c r="U33" s="8"/>
      <c r="V33" s="8"/>
      <c r="W33" s="8"/>
      <c r="X33" s="8"/>
      <c r="Y33" s="189"/>
      <c r="Z33" s="8"/>
      <c r="AA33" s="189"/>
      <c r="AB33" s="189"/>
    </row>
    <row r="34" spans="1:28" s="183" customFormat="1" ht="29.45" customHeight="1" x14ac:dyDescent="0.25">
      <c r="A34" s="200" t="s">
        <v>19</v>
      </c>
      <c r="B34" s="200" t="s">
        <v>403</v>
      </c>
      <c r="C34" s="277" t="s">
        <v>171</v>
      </c>
      <c r="D34" s="277">
        <v>39</v>
      </c>
      <c r="E34" s="278">
        <v>159.56</v>
      </c>
      <c r="F34" s="278"/>
      <c r="G34" s="367"/>
      <c r="H34" s="277"/>
      <c r="I34" s="367">
        <f t="shared" si="11"/>
        <v>0</v>
      </c>
      <c r="J34" s="277"/>
      <c r="K34" s="367">
        <f t="shared" si="12"/>
        <v>0</v>
      </c>
      <c r="L34" s="277">
        <v>39</v>
      </c>
      <c r="M34" s="367">
        <f t="shared" si="13"/>
        <v>6222.84</v>
      </c>
      <c r="N34" s="367">
        <f t="shared" si="14"/>
        <v>6222.84</v>
      </c>
      <c r="O34" s="182"/>
      <c r="P34" s="8"/>
      <c r="Q34" s="8"/>
      <c r="R34" s="8"/>
      <c r="S34" s="8"/>
      <c r="T34" s="8"/>
      <c r="U34" s="8"/>
      <c r="V34" s="8"/>
      <c r="W34" s="8"/>
      <c r="X34" s="8"/>
      <c r="Y34" s="189"/>
      <c r="Z34" s="8"/>
      <c r="AA34" s="189"/>
      <c r="AB34" s="189"/>
    </row>
    <row r="35" spans="1:28" s="183" customFormat="1" ht="29.45" customHeight="1" x14ac:dyDescent="0.25">
      <c r="A35" s="200" t="s">
        <v>20</v>
      </c>
      <c r="B35" s="200" t="s">
        <v>455</v>
      </c>
      <c r="C35" s="277" t="s">
        <v>171</v>
      </c>
      <c r="D35" s="277">
        <v>78</v>
      </c>
      <c r="E35" s="278">
        <v>159.56</v>
      </c>
      <c r="F35" s="278"/>
      <c r="G35" s="367"/>
      <c r="H35" s="277"/>
      <c r="I35" s="367">
        <f t="shared" si="11"/>
        <v>0</v>
      </c>
      <c r="J35" s="277"/>
      <c r="K35" s="367">
        <f t="shared" si="12"/>
        <v>0</v>
      </c>
      <c r="L35" s="277">
        <v>78</v>
      </c>
      <c r="M35" s="367">
        <f t="shared" si="13"/>
        <v>12445.68</v>
      </c>
      <c r="N35" s="367">
        <f t="shared" si="14"/>
        <v>12445.68</v>
      </c>
      <c r="O35" s="182"/>
      <c r="P35" s="8"/>
      <c r="Q35" s="8"/>
      <c r="R35" s="8"/>
      <c r="S35" s="8"/>
      <c r="T35" s="8"/>
      <c r="U35" s="8"/>
      <c r="V35" s="8"/>
      <c r="W35" s="8"/>
      <c r="X35" s="8"/>
      <c r="Y35" s="189"/>
      <c r="Z35" s="8"/>
      <c r="AA35" s="189"/>
      <c r="AB35" s="189"/>
    </row>
    <row r="36" spans="1:28" s="183" customFormat="1" ht="29.45" customHeight="1" x14ac:dyDescent="0.25">
      <c r="A36" s="200" t="s">
        <v>260</v>
      </c>
      <c r="B36" s="200" t="s">
        <v>454</v>
      </c>
      <c r="C36" s="277" t="s">
        <v>171</v>
      </c>
      <c r="D36" s="277">
        <v>78</v>
      </c>
      <c r="E36" s="278">
        <v>159.56</v>
      </c>
      <c r="F36" s="278"/>
      <c r="G36" s="367"/>
      <c r="H36" s="277"/>
      <c r="I36" s="367">
        <f t="shared" si="11"/>
        <v>0</v>
      </c>
      <c r="J36" s="277"/>
      <c r="K36" s="367">
        <f t="shared" si="12"/>
        <v>0</v>
      </c>
      <c r="L36" s="277">
        <v>78</v>
      </c>
      <c r="M36" s="367">
        <f t="shared" si="13"/>
        <v>12445.68</v>
      </c>
      <c r="N36" s="367">
        <f t="shared" si="14"/>
        <v>12445.68</v>
      </c>
      <c r="O36" s="182"/>
      <c r="P36" s="8"/>
      <c r="Q36" s="8"/>
      <c r="R36" s="8"/>
      <c r="S36" s="8"/>
      <c r="T36" s="8"/>
      <c r="U36" s="8"/>
      <c r="V36" s="8"/>
      <c r="W36" s="8"/>
      <c r="X36" s="8"/>
      <c r="Y36" s="189"/>
      <c r="Z36" s="8"/>
      <c r="AA36" s="189"/>
      <c r="AB36" s="189"/>
    </row>
    <row r="37" spans="1:28" ht="29.45" customHeight="1" thickBot="1" x14ac:dyDescent="0.3">
      <c r="A37" s="190" t="s">
        <v>206</v>
      </c>
      <c r="B37" s="191"/>
      <c r="C37" s="187"/>
      <c r="D37" s="187"/>
      <c r="E37" s="7"/>
      <c r="F37" s="7"/>
      <c r="G37" s="368"/>
      <c r="H37" s="7"/>
      <c r="I37" s="368"/>
      <c r="J37" s="187"/>
      <c r="K37" s="368"/>
      <c r="L37" s="187"/>
      <c r="M37" s="368"/>
      <c r="N37" s="443">
        <f>SUBTOTAL(9,N31:N36)</f>
        <v>56005.560000000005</v>
      </c>
      <c r="P37" s="224"/>
      <c r="Q37" s="225"/>
      <c r="R37" s="8"/>
      <c r="S37" s="8"/>
      <c r="T37" s="8"/>
      <c r="U37" s="8"/>
      <c r="V37" s="8"/>
      <c r="W37" s="8"/>
      <c r="X37" s="8"/>
      <c r="Y37" s="189"/>
      <c r="Z37" s="8"/>
      <c r="AA37" s="189"/>
      <c r="AB37" s="189"/>
    </row>
    <row r="38" spans="1:28" ht="15.75" thickBot="1" x14ac:dyDescent="0.3">
      <c r="A38" s="6" t="s">
        <v>207</v>
      </c>
      <c r="B38" s="193"/>
      <c r="C38" s="374" t="s">
        <v>242</v>
      </c>
      <c r="D38" s="375">
        <f>SUM(D4:D36)</f>
        <v>3435</v>
      </c>
      <c r="E38" s="375"/>
      <c r="F38" s="456">
        <f t="shared" ref="F38:M38" si="15">SUM(F4:F36)</f>
        <v>106</v>
      </c>
      <c r="G38" s="458">
        <f t="shared" si="15"/>
        <v>26010.439000000002</v>
      </c>
      <c r="H38" s="376">
        <f t="shared" si="15"/>
        <v>1083</v>
      </c>
      <c r="I38" s="462">
        <f t="shared" si="15"/>
        <v>245732.7</v>
      </c>
      <c r="J38" s="377">
        <f>SUM(J4:J36)</f>
        <v>1181</v>
      </c>
      <c r="K38" s="464">
        <f t="shared" si="15"/>
        <v>289795.55150000006</v>
      </c>
      <c r="L38" s="378">
        <f t="shared" si="15"/>
        <v>1065</v>
      </c>
      <c r="M38" s="467">
        <f t="shared" si="15"/>
        <v>169931.39999999997</v>
      </c>
      <c r="N38" s="469">
        <f>SUBTOTAL(9,N4:N37)</f>
        <v>731470.09050000005</v>
      </c>
      <c r="P38" s="189"/>
      <c r="Q38" s="189"/>
      <c r="R38" s="189"/>
      <c r="S38" s="189"/>
      <c r="T38" s="189"/>
      <c r="U38" s="189"/>
      <c r="V38" s="189"/>
      <c r="W38" s="189"/>
      <c r="X38" s="189"/>
      <c r="Y38" s="189"/>
      <c r="Z38" s="8"/>
      <c r="AA38" s="189"/>
      <c r="AB38" s="189"/>
    </row>
    <row r="39" spans="1:28" s="183" customFormat="1" x14ac:dyDescent="0.25">
      <c r="A39" s="279"/>
      <c r="B39" s="189"/>
      <c r="C39" s="189"/>
      <c r="D39" s="182"/>
      <c r="E39" s="182"/>
      <c r="F39" s="182"/>
      <c r="G39" s="288"/>
      <c r="H39" s="182"/>
      <c r="I39" s="288"/>
      <c r="J39" s="182"/>
      <c r="K39" s="288"/>
      <c r="L39" s="182"/>
      <c r="M39" s="288"/>
      <c r="N39" s="288"/>
      <c r="O39" s="182"/>
      <c r="P39" s="189"/>
      <c r="Q39" s="189"/>
      <c r="R39" s="189"/>
      <c r="S39" s="189"/>
      <c r="T39" s="189"/>
      <c r="U39" s="189"/>
      <c r="V39" s="189"/>
      <c r="W39" s="189"/>
      <c r="X39" s="189"/>
      <c r="Y39" s="189"/>
      <c r="Z39" s="8"/>
      <c r="AA39" s="189"/>
      <c r="AB39" s="189"/>
    </row>
    <row r="40" spans="1:28" s="183" customFormat="1" ht="15.75" thickBot="1" x14ac:dyDescent="0.3">
      <c r="A40" s="205"/>
      <c r="B40" s="205"/>
      <c r="C40" s="182"/>
      <c r="D40" s="182"/>
      <c r="E40" s="182"/>
      <c r="F40" s="182"/>
      <c r="G40" s="288"/>
      <c r="H40" s="182"/>
      <c r="I40" s="288"/>
      <c r="J40" s="182"/>
      <c r="K40" s="288"/>
      <c r="L40" s="182"/>
      <c r="M40" s="288"/>
      <c r="N40" s="288"/>
      <c r="O40" s="182"/>
      <c r="P40" s="189"/>
      <c r="Q40" s="189"/>
      <c r="R40" s="189"/>
      <c r="S40" s="189"/>
      <c r="T40" s="189"/>
      <c r="U40" s="189"/>
      <c r="V40" s="189"/>
      <c r="W40" s="189"/>
      <c r="X40" s="189"/>
      <c r="Y40" s="189"/>
      <c r="Z40" s="12"/>
      <c r="AA40" s="189"/>
      <c r="AB40" s="189"/>
    </row>
    <row r="41" spans="1:28" x14ac:dyDescent="0.25">
      <c r="A41" s="510" t="s">
        <v>272</v>
      </c>
      <c r="B41" s="511"/>
      <c r="C41" s="512"/>
      <c r="P41" s="189"/>
      <c r="Q41" s="189"/>
      <c r="R41" s="189"/>
      <c r="S41" s="189"/>
      <c r="T41" s="189"/>
      <c r="U41" s="189"/>
      <c r="V41" s="189"/>
      <c r="W41" s="189"/>
      <c r="X41" s="189"/>
      <c r="Y41" s="189"/>
      <c r="Z41" s="8"/>
      <c r="AA41" s="189"/>
      <c r="AB41" s="9"/>
    </row>
    <row r="42" spans="1:28" x14ac:dyDescent="0.25">
      <c r="A42" s="195" t="s">
        <v>183</v>
      </c>
      <c r="B42" s="196" t="s">
        <v>174</v>
      </c>
      <c r="C42" s="197" t="s">
        <v>184</v>
      </c>
    </row>
    <row r="43" spans="1:28" x14ac:dyDescent="0.25">
      <c r="A43" s="195" t="s">
        <v>185</v>
      </c>
      <c r="B43" s="198" t="s">
        <v>175</v>
      </c>
      <c r="C43" s="197">
        <v>6</v>
      </c>
      <c r="E43" s="51"/>
      <c r="F43" s="51"/>
      <c r="G43" s="460"/>
      <c r="N43" s="470"/>
    </row>
    <row r="44" spans="1:28" x14ac:dyDescent="0.25">
      <c r="A44" s="195" t="s">
        <v>186</v>
      </c>
      <c r="B44" s="198" t="s">
        <v>176</v>
      </c>
      <c r="C44" s="197">
        <v>2</v>
      </c>
      <c r="E44" s="51"/>
      <c r="F44" s="51"/>
      <c r="G44" s="460"/>
      <c r="N44" s="470"/>
    </row>
    <row r="45" spans="1:28" x14ac:dyDescent="0.25">
      <c r="A45" s="195" t="s">
        <v>187</v>
      </c>
      <c r="B45" s="198" t="s">
        <v>177</v>
      </c>
      <c r="C45" s="197">
        <v>2</v>
      </c>
      <c r="N45" s="103"/>
    </row>
    <row r="46" spans="1:28" x14ac:dyDescent="0.25">
      <c r="A46" s="195" t="s">
        <v>188</v>
      </c>
      <c r="B46" s="198" t="s">
        <v>178</v>
      </c>
      <c r="C46" s="197">
        <v>4</v>
      </c>
      <c r="N46" s="103"/>
    </row>
    <row r="47" spans="1:28" x14ac:dyDescent="0.25">
      <c r="A47" s="195" t="s">
        <v>189</v>
      </c>
      <c r="B47" s="198" t="s">
        <v>179</v>
      </c>
      <c r="C47" s="197">
        <v>4</v>
      </c>
    </row>
    <row r="48" spans="1:28" x14ac:dyDescent="0.25">
      <c r="A48" s="195" t="s">
        <v>190</v>
      </c>
      <c r="B48" s="198" t="s">
        <v>180</v>
      </c>
      <c r="C48" s="197">
        <v>4</v>
      </c>
    </row>
    <row r="49" spans="1:3" x14ac:dyDescent="0.25">
      <c r="A49" s="195" t="s">
        <v>191</v>
      </c>
      <c r="B49" s="198" t="s">
        <v>176</v>
      </c>
      <c r="C49" s="197">
        <v>2</v>
      </c>
    </row>
    <row r="50" spans="1:3" x14ac:dyDescent="0.25">
      <c r="A50" s="195" t="s">
        <v>192</v>
      </c>
      <c r="B50" s="198" t="s">
        <v>181</v>
      </c>
      <c r="C50" s="197">
        <v>2</v>
      </c>
    </row>
    <row r="51" spans="1:3" x14ac:dyDescent="0.25">
      <c r="A51" s="195" t="s">
        <v>193</v>
      </c>
      <c r="B51" s="198" t="s">
        <v>182</v>
      </c>
      <c r="C51" s="197">
        <v>4</v>
      </c>
    </row>
    <row r="52" spans="1:3" x14ac:dyDescent="0.25">
      <c r="A52" s="195" t="s">
        <v>194</v>
      </c>
      <c r="B52" s="198" t="s">
        <v>176</v>
      </c>
      <c r="C52" s="197">
        <v>2</v>
      </c>
    </row>
    <row r="53" spans="1:3" x14ac:dyDescent="0.25">
      <c r="A53" s="14" t="s">
        <v>195</v>
      </c>
      <c r="B53" s="196" t="s">
        <v>196</v>
      </c>
      <c r="C53" s="197"/>
    </row>
    <row r="54" spans="1:3" x14ac:dyDescent="0.25">
      <c r="A54" s="195" t="s">
        <v>185</v>
      </c>
      <c r="B54" s="198" t="s">
        <v>197</v>
      </c>
      <c r="C54" s="197">
        <v>1</v>
      </c>
    </row>
    <row r="55" spans="1:3" x14ac:dyDescent="0.25">
      <c r="A55" s="195" t="s">
        <v>198</v>
      </c>
      <c r="B55" s="198" t="s">
        <v>437</v>
      </c>
      <c r="C55" s="197">
        <v>1</v>
      </c>
    </row>
    <row r="56" spans="1:3" x14ac:dyDescent="0.25">
      <c r="A56" s="195" t="s">
        <v>192</v>
      </c>
      <c r="B56" s="198" t="s">
        <v>199</v>
      </c>
      <c r="C56" s="197">
        <v>4</v>
      </c>
    </row>
    <row r="57" spans="1:3" x14ac:dyDescent="0.25">
      <c r="A57" s="195" t="s">
        <v>274</v>
      </c>
      <c r="B57" s="198" t="s">
        <v>200</v>
      </c>
      <c r="C57" s="197">
        <v>1</v>
      </c>
    </row>
    <row r="58" spans="1:3" ht="15.75" thickBot="1" x14ac:dyDescent="0.3">
      <c r="A58" s="199"/>
      <c r="B58" s="2" t="s">
        <v>275</v>
      </c>
      <c r="C58" s="3">
        <v>39</v>
      </c>
    </row>
    <row r="59" spans="1:3" ht="15.75" thickBot="1" x14ac:dyDescent="0.3"/>
    <row r="60" spans="1:3" x14ac:dyDescent="0.25">
      <c r="A60" s="510" t="s">
        <v>276</v>
      </c>
      <c r="B60" s="511"/>
      <c r="C60" s="512"/>
    </row>
    <row r="61" spans="1:3" x14ac:dyDescent="0.25">
      <c r="A61" s="195" t="s">
        <v>277</v>
      </c>
      <c r="B61" s="196" t="s">
        <v>174</v>
      </c>
      <c r="C61" s="197" t="s">
        <v>220</v>
      </c>
    </row>
    <row r="62" spans="1:3" x14ac:dyDescent="0.25">
      <c r="A62" s="195" t="s">
        <v>185</v>
      </c>
      <c r="B62" s="198" t="s">
        <v>175</v>
      </c>
      <c r="C62" s="197">
        <v>9</v>
      </c>
    </row>
    <row r="63" spans="1:3" x14ac:dyDescent="0.25">
      <c r="A63" s="195" t="s">
        <v>186</v>
      </c>
      <c r="B63" s="198" t="s">
        <v>176</v>
      </c>
      <c r="C63" s="197">
        <v>3</v>
      </c>
    </row>
    <row r="64" spans="1:3" x14ac:dyDescent="0.25">
      <c r="A64" s="195" t="s">
        <v>187</v>
      </c>
      <c r="B64" s="198" t="s">
        <v>177</v>
      </c>
      <c r="C64" s="197">
        <v>3</v>
      </c>
    </row>
    <row r="65" spans="1:3" x14ac:dyDescent="0.25">
      <c r="A65" s="195" t="s">
        <v>188</v>
      </c>
      <c r="B65" s="198" t="s">
        <v>178</v>
      </c>
      <c r="C65" s="197">
        <v>6</v>
      </c>
    </row>
    <row r="66" spans="1:3" x14ac:dyDescent="0.25">
      <c r="A66" s="195" t="s">
        <v>189</v>
      </c>
      <c r="B66" s="198" t="s">
        <v>179</v>
      </c>
      <c r="C66" s="197">
        <v>6</v>
      </c>
    </row>
    <row r="67" spans="1:3" x14ac:dyDescent="0.25">
      <c r="A67" s="195" t="s">
        <v>190</v>
      </c>
      <c r="B67" s="198" t="s">
        <v>180</v>
      </c>
      <c r="C67" s="197">
        <v>6</v>
      </c>
    </row>
    <row r="68" spans="1:3" x14ac:dyDescent="0.25">
      <c r="A68" s="195" t="s">
        <v>191</v>
      </c>
      <c r="B68" s="198" t="s">
        <v>176</v>
      </c>
      <c r="C68" s="197">
        <v>3</v>
      </c>
    </row>
    <row r="69" spans="1:3" x14ac:dyDescent="0.25">
      <c r="A69" s="195" t="s">
        <v>192</v>
      </c>
      <c r="B69" s="198" t="s">
        <v>181</v>
      </c>
      <c r="C69" s="197">
        <v>3</v>
      </c>
    </row>
    <row r="70" spans="1:3" x14ac:dyDescent="0.25">
      <c r="A70" s="195" t="s">
        <v>193</v>
      </c>
      <c r="B70" s="198" t="s">
        <v>182</v>
      </c>
      <c r="C70" s="197">
        <v>6</v>
      </c>
    </row>
    <row r="71" spans="1:3" x14ac:dyDescent="0.25">
      <c r="A71" s="195" t="s">
        <v>194</v>
      </c>
      <c r="B71" s="198" t="s">
        <v>176</v>
      </c>
      <c r="C71" s="197">
        <v>3</v>
      </c>
    </row>
    <row r="72" spans="1:3" x14ac:dyDescent="0.25">
      <c r="A72" s="195" t="s">
        <v>218</v>
      </c>
      <c r="B72" s="196" t="s">
        <v>196</v>
      </c>
      <c r="C72" s="197"/>
    </row>
    <row r="73" spans="1:3" x14ac:dyDescent="0.25">
      <c r="A73" s="195" t="s">
        <v>185</v>
      </c>
      <c r="B73" s="198" t="s">
        <v>197</v>
      </c>
      <c r="C73" s="197">
        <v>3</v>
      </c>
    </row>
    <row r="74" spans="1:3" x14ac:dyDescent="0.25">
      <c r="A74" s="195" t="s">
        <v>198</v>
      </c>
      <c r="B74" s="198" t="s">
        <v>437</v>
      </c>
      <c r="C74" s="197">
        <v>3</v>
      </c>
    </row>
    <row r="75" spans="1:3" x14ac:dyDescent="0.25">
      <c r="A75" s="195" t="s">
        <v>192</v>
      </c>
      <c r="B75" s="198" t="s">
        <v>199</v>
      </c>
      <c r="C75" s="197">
        <v>12</v>
      </c>
    </row>
    <row r="76" spans="1:3" x14ac:dyDescent="0.25">
      <c r="A76" s="195" t="s">
        <v>274</v>
      </c>
      <c r="B76" s="198" t="s">
        <v>200</v>
      </c>
      <c r="C76" s="197">
        <v>3</v>
      </c>
    </row>
    <row r="77" spans="1:3" ht="15.75" thickBot="1" x14ac:dyDescent="0.3">
      <c r="A77" s="199"/>
      <c r="B77" s="2" t="s">
        <v>278</v>
      </c>
      <c r="C77" s="3">
        <f>SUM(C62:C76)</f>
        <v>69</v>
      </c>
    </row>
  </sheetData>
  <customSheetViews>
    <customSheetView guid="{CAABEC37-EB41-41EA-8358-75DFFF1C418B}" scale="50" showPageBreaks="1" fitToPage="1" printArea="1" topLeftCell="A38">
      <selection activeCell="D83" sqref="D83"/>
      <pageMargins left="0.7" right="0.7" top="0.75" bottom="0.75" header="0.3" footer="0.3"/>
      <pageSetup paperSize="611" scale="39" orientation="portrait" horizontalDpi="0" verticalDpi="0" r:id="rId1"/>
      <headerFooter scaleWithDoc="0">
        <oddHeader>&amp;L&amp;P of &amp;N&amp;C&amp;F &amp;A</oddHeader>
      </headerFooter>
    </customSheetView>
    <customSheetView guid="{15B474D1-E47A-4C0E-8895-89D98B12A497}" scale="80" fitToPage="1">
      <selection activeCell="N35" sqref="N35"/>
      <pageMargins left="0.7" right="0.7" top="0.75" bottom="0.75" header="0.3" footer="0.3"/>
      <pageSetup paperSize="611" orientation="portrait" horizontalDpi="0" verticalDpi="0" r:id="rId2"/>
      <headerFooter scaleWithDoc="0">
        <oddHeader>&amp;L&amp;P of &amp;N&amp;C&amp;F &amp;A</oddHeader>
      </headerFooter>
    </customSheetView>
    <customSheetView guid="{5E423FF4-B179-40EA-B86D-E5D89FDA80FE}" fitToPage="1" printArea="1" topLeftCell="A68">
      <selection activeCell="B100" sqref="B100"/>
      <pageMargins left="0.7" right="0.7" top="0.75" bottom="0.75" header="0.3" footer="0.3"/>
      <pageSetup paperSize="611" scale="39" orientation="portrait" horizontalDpi="0" verticalDpi="0" r:id="rId3"/>
      <headerFooter scaleWithDoc="0">
        <oddHeader>&amp;L&amp;P of &amp;N&amp;C&amp;F &amp;A</oddHeader>
      </headerFooter>
    </customSheetView>
  </customSheetViews>
  <mergeCells count="6">
    <mergeCell ref="A41:C41"/>
    <mergeCell ref="A60:C60"/>
    <mergeCell ref="H1:I1"/>
    <mergeCell ref="J1:K1"/>
    <mergeCell ref="L1:M1"/>
    <mergeCell ref="F1:G1"/>
  </mergeCells>
  <pageMargins left="0.7" right="0.7" top="0.75" bottom="0.75" header="0.3" footer="0.3"/>
  <pageSetup paperSize="611" scale="32" orientation="landscape" horizontalDpi="0" verticalDpi="0" r:id="rId4"/>
  <headerFooter scaleWithDoc="0">
    <oddHeader>&amp;L&amp;P of &amp;N&amp;C&amp;F &amp;A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S155"/>
  <sheetViews>
    <sheetView zoomScale="40" zoomScaleNormal="40" workbookViewId="0">
      <pane ySplit="1" topLeftCell="A26" activePane="bottomLeft" state="frozen"/>
      <selection pane="bottomLeft" activeCell="K119" sqref="K119"/>
    </sheetView>
  </sheetViews>
  <sheetFormatPr defaultColWidth="8.85546875" defaultRowHeight="15" x14ac:dyDescent="0.25"/>
  <cols>
    <col min="1" max="1" width="80.5703125" style="408" customWidth="1"/>
    <col min="2" max="2" width="69.42578125" style="227" customWidth="1"/>
    <col min="3" max="3" width="18" style="227" customWidth="1"/>
    <col min="4" max="4" width="18" style="395" customWidth="1"/>
    <col min="5" max="5" width="25" style="227" customWidth="1"/>
    <col min="6" max="6" width="25" style="122" customWidth="1"/>
    <col min="7" max="7" width="25" style="369" customWidth="1"/>
    <col min="8" max="8" width="20.42578125" style="430" customWidth="1"/>
    <col min="9" max="9" width="4.140625" style="409" customWidth="1"/>
    <col min="10" max="10" width="10.140625" style="227" bestFit="1" customWidth="1"/>
    <col min="11" max="11" width="11.28515625" style="227" bestFit="1" customWidth="1"/>
    <col min="12" max="12" width="8.7109375" style="227" bestFit="1" customWidth="1"/>
    <col min="13" max="13" width="8.140625" style="227" bestFit="1" customWidth="1"/>
    <col min="14" max="14" width="7.7109375" style="227" bestFit="1" customWidth="1"/>
    <col min="15" max="15" width="9.5703125" style="227" bestFit="1" customWidth="1"/>
    <col min="16" max="16" width="10.140625" style="227" bestFit="1" customWidth="1"/>
    <col min="17" max="17" width="9.5703125" style="227" bestFit="1" customWidth="1"/>
    <col min="18" max="18" width="32.28515625" style="227" bestFit="1" customWidth="1"/>
    <col min="19" max="19" width="4.85546875" style="227" bestFit="1" customWidth="1"/>
    <col min="20" max="16384" width="8.85546875" style="227"/>
  </cols>
  <sheetData>
    <row r="1" spans="1:9" ht="34.15" customHeight="1" x14ac:dyDescent="0.25">
      <c r="F1" s="520" t="s">
        <v>476</v>
      </c>
      <c r="G1" s="521"/>
    </row>
    <row r="2" spans="1:9" ht="86.45" customHeight="1" x14ac:dyDescent="0.25">
      <c r="A2" s="410" t="s">
        <v>388</v>
      </c>
      <c r="B2" s="411" t="s">
        <v>21</v>
      </c>
      <c r="C2" s="11" t="s">
        <v>170</v>
      </c>
      <c r="D2" s="301" t="s">
        <v>173</v>
      </c>
      <c r="E2" s="11" t="s">
        <v>279</v>
      </c>
      <c r="F2" s="352" t="s">
        <v>477</v>
      </c>
      <c r="G2" s="363" t="s">
        <v>459</v>
      </c>
      <c r="H2" s="431" t="s">
        <v>214</v>
      </c>
      <c r="I2" s="5"/>
    </row>
    <row r="3" spans="1:9" ht="14.45" customHeight="1" x14ac:dyDescent="0.25">
      <c r="A3" s="412" t="s">
        <v>22</v>
      </c>
      <c r="B3" s="397"/>
      <c r="C3" s="397"/>
      <c r="D3" s="396"/>
      <c r="E3" s="397"/>
      <c r="F3" s="181"/>
      <c r="G3" s="364"/>
      <c r="H3" s="432"/>
    </row>
    <row r="4" spans="1:9" ht="49.7" customHeight="1" x14ac:dyDescent="0.25">
      <c r="A4" s="413" t="s">
        <v>219</v>
      </c>
      <c r="B4" s="399"/>
      <c r="C4" s="399"/>
      <c r="D4" s="398"/>
      <c r="E4" s="399"/>
      <c r="F4" s="354"/>
      <c r="G4" s="365"/>
      <c r="H4" s="433"/>
    </row>
    <row r="5" spans="1:9" ht="30" customHeight="1" x14ac:dyDescent="0.25">
      <c r="A5" s="411" t="s">
        <v>23</v>
      </c>
      <c r="B5" s="405" t="s">
        <v>221</v>
      </c>
      <c r="C5" s="405"/>
      <c r="D5" s="400"/>
      <c r="E5" s="401"/>
      <c r="F5" s="355"/>
      <c r="G5" s="366"/>
      <c r="H5" s="434"/>
    </row>
    <row r="6" spans="1:9" ht="27" customHeight="1" x14ac:dyDescent="0.25">
      <c r="A6" s="411" t="s">
        <v>24</v>
      </c>
      <c r="B6" s="405" t="s">
        <v>221</v>
      </c>
      <c r="C6" s="405"/>
      <c r="D6" s="400"/>
      <c r="E6" s="401"/>
      <c r="F6" s="355"/>
      <c r="G6" s="366"/>
      <c r="H6" s="434"/>
    </row>
    <row r="7" spans="1:9" ht="27" customHeight="1" x14ac:dyDescent="0.25">
      <c r="A7" s="413" t="s">
        <v>25</v>
      </c>
      <c r="B7" s="399"/>
      <c r="C7" s="399"/>
      <c r="D7" s="398"/>
      <c r="E7" s="402"/>
      <c r="F7" s="356"/>
      <c r="G7" s="365"/>
      <c r="H7" s="433"/>
    </row>
    <row r="8" spans="1:9" ht="27" customHeight="1" x14ac:dyDescent="0.25">
      <c r="A8" s="411" t="s">
        <v>26</v>
      </c>
      <c r="B8" s="405" t="s">
        <v>423</v>
      </c>
      <c r="C8" s="405" t="s">
        <v>171</v>
      </c>
      <c r="D8" s="400">
        <v>15</v>
      </c>
      <c r="E8" s="403">
        <f>+'FORA Loaded Hourly'!B6</f>
        <v>226.90478691468232</v>
      </c>
      <c r="F8" s="357">
        <f>D8</f>
        <v>15</v>
      </c>
      <c r="G8" s="367">
        <f>D8*E8</f>
        <v>3403.5718037202346</v>
      </c>
      <c r="H8" s="434">
        <f>+G8</f>
        <v>3403.5718037202346</v>
      </c>
    </row>
    <row r="9" spans="1:9" ht="27" customHeight="1" x14ac:dyDescent="0.25">
      <c r="A9" s="411" t="s">
        <v>27</v>
      </c>
      <c r="B9" s="405" t="s">
        <v>423</v>
      </c>
      <c r="C9" s="405" t="s">
        <v>171</v>
      </c>
      <c r="D9" s="400">
        <v>15</v>
      </c>
      <c r="E9" s="403">
        <f>+$E$8</f>
        <v>226.90478691468232</v>
      </c>
      <c r="F9" s="357">
        <f t="shared" ref="F9:F21" si="0">D9</f>
        <v>15</v>
      </c>
      <c r="G9" s="367">
        <f t="shared" ref="G9:G21" si="1">D9*E9</f>
        <v>3403.5718037202346</v>
      </c>
      <c r="H9" s="434">
        <f t="shared" ref="H9:H21" si="2">+G9</f>
        <v>3403.5718037202346</v>
      </c>
    </row>
    <row r="10" spans="1:9" ht="27" customHeight="1" x14ac:dyDescent="0.25">
      <c r="A10" s="411" t="s">
        <v>422</v>
      </c>
      <c r="B10" s="405" t="s">
        <v>423</v>
      </c>
      <c r="C10" s="405" t="s">
        <v>171</v>
      </c>
      <c r="D10" s="400">
        <v>15</v>
      </c>
      <c r="E10" s="403">
        <f t="shared" ref="E10:E21" si="3">+$E$8</f>
        <v>226.90478691468232</v>
      </c>
      <c r="F10" s="357">
        <f t="shared" si="0"/>
        <v>15</v>
      </c>
      <c r="G10" s="367">
        <f t="shared" si="1"/>
        <v>3403.5718037202346</v>
      </c>
      <c r="H10" s="434">
        <f t="shared" si="2"/>
        <v>3403.5718037202346</v>
      </c>
    </row>
    <row r="11" spans="1:9" ht="27" customHeight="1" x14ac:dyDescent="0.25">
      <c r="A11" s="411" t="s">
        <v>245</v>
      </c>
      <c r="B11" s="405" t="s">
        <v>423</v>
      </c>
      <c r="C11" s="405" t="s">
        <v>171</v>
      </c>
      <c r="D11" s="400">
        <v>15</v>
      </c>
      <c r="E11" s="403">
        <f t="shared" si="3"/>
        <v>226.90478691468232</v>
      </c>
      <c r="F11" s="357">
        <f t="shared" si="0"/>
        <v>15</v>
      </c>
      <c r="G11" s="367">
        <f t="shared" si="1"/>
        <v>3403.5718037202346</v>
      </c>
      <c r="H11" s="434">
        <f t="shared" si="2"/>
        <v>3403.5718037202346</v>
      </c>
    </row>
    <row r="12" spans="1:9" ht="27" customHeight="1" x14ac:dyDescent="0.25">
      <c r="A12" s="413" t="s">
        <v>28</v>
      </c>
      <c r="B12" s="399"/>
      <c r="C12" s="399"/>
      <c r="D12" s="398"/>
      <c r="E12" s="402"/>
      <c r="F12" s="357">
        <f t="shared" si="0"/>
        <v>0</v>
      </c>
      <c r="G12" s="367">
        <f t="shared" si="1"/>
        <v>0</v>
      </c>
      <c r="H12" s="434">
        <f t="shared" si="2"/>
        <v>0</v>
      </c>
    </row>
    <row r="13" spans="1:9" ht="27" customHeight="1" x14ac:dyDescent="0.25">
      <c r="A13" s="411" t="s">
        <v>246</v>
      </c>
      <c r="B13" s="405" t="s">
        <v>423</v>
      </c>
      <c r="C13" s="405" t="s">
        <v>171</v>
      </c>
      <c r="D13" s="400">
        <v>15</v>
      </c>
      <c r="E13" s="403">
        <f t="shared" si="3"/>
        <v>226.90478691468232</v>
      </c>
      <c r="F13" s="357">
        <f t="shared" si="0"/>
        <v>15</v>
      </c>
      <c r="G13" s="367">
        <f t="shared" si="1"/>
        <v>3403.5718037202346</v>
      </c>
      <c r="H13" s="434">
        <f t="shared" si="2"/>
        <v>3403.5718037202346</v>
      </c>
    </row>
    <row r="14" spans="1:9" ht="35.450000000000003" customHeight="1" x14ac:dyDescent="0.25">
      <c r="A14" s="411" t="s">
        <v>247</v>
      </c>
      <c r="B14" s="405" t="s">
        <v>423</v>
      </c>
      <c r="C14" s="405" t="s">
        <v>171</v>
      </c>
      <c r="D14" s="400">
        <v>15</v>
      </c>
      <c r="E14" s="403">
        <f t="shared" si="3"/>
        <v>226.90478691468232</v>
      </c>
      <c r="F14" s="357">
        <f t="shared" si="0"/>
        <v>15</v>
      </c>
      <c r="G14" s="367">
        <f t="shared" si="1"/>
        <v>3403.5718037202346</v>
      </c>
      <c r="H14" s="434">
        <f t="shared" si="2"/>
        <v>3403.5718037202346</v>
      </c>
    </row>
    <row r="15" spans="1:9" ht="27" customHeight="1" x14ac:dyDescent="0.25">
      <c r="A15" s="413" t="s">
        <v>29</v>
      </c>
      <c r="B15" s="399"/>
      <c r="C15" s="399"/>
      <c r="D15" s="398"/>
      <c r="E15" s="402"/>
      <c r="F15" s="357">
        <f t="shared" si="0"/>
        <v>0</v>
      </c>
      <c r="G15" s="367">
        <f t="shared" si="1"/>
        <v>0</v>
      </c>
      <c r="H15" s="434">
        <f t="shared" si="2"/>
        <v>0</v>
      </c>
    </row>
    <row r="16" spans="1:9" ht="27" customHeight="1" x14ac:dyDescent="0.25">
      <c r="A16" s="411" t="s">
        <v>30</v>
      </c>
      <c r="B16" s="405" t="s">
        <v>424</v>
      </c>
      <c r="C16" s="405" t="s">
        <v>171</v>
      </c>
      <c r="D16" s="400">
        <v>40</v>
      </c>
      <c r="E16" s="403">
        <f t="shared" si="3"/>
        <v>226.90478691468232</v>
      </c>
      <c r="F16" s="357">
        <f t="shared" si="0"/>
        <v>40</v>
      </c>
      <c r="G16" s="367">
        <f t="shared" si="1"/>
        <v>9076.1914765872934</v>
      </c>
      <c r="H16" s="434">
        <f t="shared" si="2"/>
        <v>9076.1914765872934</v>
      </c>
    </row>
    <row r="17" spans="1:19" ht="33.75" customHeight="1" x14ac:dyDescent="0.25">
      <c r="A17" s="411" t="s">
        <v>248</v>
      </c>
      <c r="B17" s="405" t="s">
        <v>424</v>
      </c>
      <c r="C17" s="405" t="s">
        <v>171</v>
      </c>
      <c r="D17" s="400">
        <v>40</v>
      </c>
      <c r="E17" s="403">
        <f t="shared" si="3"/>
        <v>226.90478691468232</v>
      </c>
      <c r="F17" s="357">
        <f t="shared" si="0"/>
        <v>40</v>
      </c>
      <c r="G17" s="367">
        <f t="shared" si="1"/>
        <v>9076.1914765872934</v>
      </c>
      <c r="H17" s="434">
        <f t="shared" si="2"/>
        <v>9076.1914765872934</v>
      </c>
    </row>
    <row r="18" spans="1:19" ht="27" customHeight="1" x14ac:dyDescent="0.25">
      <c r="A18" s="413" t="s">
        <v>31</v>
      </c>
      <c r="B18" s="399"/>
      <c r="C18" s="399"/>
      <c r="D18" s="398"/>
      <c r="E18" s="402"/>
      <c r="F18" s="357">
        <f t="shared" si="0"/>
        <v>0</v>
      </c>
      <c r="G18" s="367">
        <f t="shared" si="1"/>
        <v>0</v>
      </c>
      <c r="H18" s="434">
        <f t="shared" si="2"/>
        <v>0</v>
      </c>
    </row>
    <row r="19" spans="1:19" ht="37.5" customHeight="1" x14ac:dyDescent="0.25">
      <c r="A19" s="411" t="s">
        <v>249</v>
      </c>
      <c r="B19" s="405" t="s">
        <v>423</v>
      </c>
      <c r="C19" s="405" t="s">
        <v>171</v>
      </c>
      <c r="D19" s="400">
        <v>15</v>
      </c>
      <c r="E19" s="403">
        <f t="shared" si="3"/>
        <v>226.90478691468232</v>
      </c>
      <c r="F19" s="357">
        <f t="shared" si="0"/>
        <v>15</v>
      </c>
      <c r="G19" s="367">
        <f t="shared" si="1"/>
        <v>3403.5718037202346</v>
      </c>
      <c r="H19" s="434">
        <f t="shared" si="2"/>
        <v>3403.5718037202346</v>
      </c>
      <c r="J19" s="409"/>
      <c r="K19" s="409"/>
      <c r="L19" s="409"/>
      <c r="M19" s="409"/>
      <c r="N19" s="409"/>
      <c r="O19" s="409"/>
      <c r="P19" s="409"/>
      <c r="Q19" s="409"/>
      <c r="R19" s="409"/>
      <c r="S19" s="409"/>
    </row>
    <row r="20" spans="1:19" ht="34.5" customHeight="1" x14ac:dyDescent="0.25">
      <c r="A20" s="411" t="s">
        <v>32</v>
      </c>
      <c r="B20" s="405" t="s">
        <v>423</v>
      </c>
      <c r="C20" s="405" t="s">
        <v>171</v>
      </c>
      <c r="D20" s="400">
        <v>15</v>
      </c>
      <c r="E20" s="403">
        <f t="shared" si="3"/>
        <v>226.90478691468232</v>
      </c>
      <c r="F20" s="357">
        <f t="shared" si="0"/>
        <v>15</v>
      </c>
      <c r="G20" s="367">
        <f t="shared" si="1"/>
        <v>3403.5718037202346</v>
      </c>
      <c r="H20" s="434">
        <f t="shared" si="2"/>
        <v>3403.5718037202346</v>
      </c>
      <c r="J20" s="409"/>
      <c r="K20" s="409"/>
      <c r="L20" s="409"/>
      <c r="M20" s="409"/>
      <c r="N20" s="409"/>
      <c r="O20" s="409"/>
      <c r="P20" s="409"/>
      <c r="Q20" s="409"/>
      <c r="R20" s="409"/>
      <c r="S20" s="409"/>
    </row>
    <row r="21" spans="1:19" ht="27" customHeight="1" x14ac:dyDescent="0.25">
      <c r="A21" s="411" t="s">
        <v>250</v>
      </c>
      <c r="B21" s="405" t="s">
        <v>423</v>
      </c>
      <c r="C21" s="405" t="s">
        <v>171</v>
      </c>
      <c r="D21" s="400">
        <v>15</v>
      </c>
      <c r="E21" s="403">
        <f t="shared" si="3"/>
        <v>226.90478691468232</v>
      </c>
      <c r="F21" s="357">
        <f t="shared" si="0"/>
        <v>15</v>
      </c>
      <c r="G21" s="367">
        <f t="shared" si="1"/>
        <v>3403.5718037202346</v>
      </c>
      <c r="H21" s="434">
        <f t="shared" si="2"/>
        <v>3403.5718037202346</v>
      </c>
      <c r="J21" s="409"/>
      <c r="K21" s="409"/>
      <c r="L21" s="409"/>
      <c r="M21" s="409"/>
      <c r="N21" s="409"/>
      <c r="O21" s="409"/>
      <c r="P21" s="409"/>
      <c r="Q21" s="409"/>
      <c r="R21" s="409"/>
      <c r="S21" s="409"/>
    </row>
    <row r="22" spans="1:19" ht="27" customHeight="1" x14ac:dyDescent="0.25">
      <c r="A22" s="414" t="s">
        <v>215</v>
      </c>
      <c r="B22" s="404"/>
      <c r="C22" s="404"/>
      <c r="D22" s="353"/>
      <c r="E22" s="404"/>
      <c r="F22" s="358"/>
      <c r="G22" s="368"/>
      <c r="H22" s="435">
        <f>SUM(H5:H21)</f>
        <v>48784.529186656684</v>
      </c>
      <c r="J22" s="409"/>
      <c r="K22" s="409"/>
      <c r="L22" s="409"/>
      <c r="M22" s="409"/>
      <c r="N22" s="409"/>
      <c r="O22" s="409"/>
      <c r="P22" s="409"/>
      <c r="Q22" s="409"/>
      <c r="R22" s="409"/>
      <c r="S22" s="409"/>
    </row>
    <row r="23" spans="1:19" ht="30.6" customHeight="1" x14ac:dyDescent="0.25">
      <c r="A23" s="412" t="s">
        <v>1</v>
      </c>
      <c r="B23" s="397"/>
      <c r="C23" s="397"/>
      <c r="D23" s="396"/>
      <c r="E23" s="397"/>
      <c r="F23" s="359"/>
      <c r="G23" s="364"/>
      <c r="H23" s="432"/>
      <c r="J23" s="409"/>
      <c r="K23" s="409"/>
      <c r="L23" s="409"/>
      <c r="M23" s="409"/>
      <c r="N23" s="409"/>
      <c r="O23" s="409"/>
      <c r="P23" s="409"/>
      <c r="Q23" s="409"/>
      <c r="R23" s="409"/>
      <c r="S23" s="409"/>
    </row>
    <row r="24" spans="1:19" x14ac:dyDescent="0.25">
      <c r="A24" s="413" t="s">
        <v>251</v>
      </c>
      <c r="B24" s="399"/>
      <c r="C24" s="399"/>
      <c r="D24" s="398"/>
      <c r="E24" s="399"/>
      <c r="F24" s="354"/>
      <c r="G24" s="365"/>
      <c r="H24" s="433"/>
      <c r="J24" s="409"/>
      <c r="K24" s="409"/>
      <c r="L24" s="409"/>
      <c r="M24" s="409"/>
      <c r="N24" s="409"/>
      <c r="O24" s="409"/>
      <c r="P24" s="409"/>
      <c r="Q24" s="409"/>
      <c r="R24" s="409"/>
      <c r="S24" s="409"/>
    </row>
    <row r="25" spans="1:19" ht="34.15" customHeight="1" x14ac:dyDescent="0.25">
      <c r="A25" s="411" t="s">
        <v>33</v>
      </c>
      <c r="B25" s="415" t="s">
        <v>406</v>
      </c>
      <c r="C25" s="405" t="s">
        <v>171</v>
      </c>
      <c r="D25" s="400">
        <v>112</v>
      </c>
      <c r="E25" s="403">
        <f t="shared" ref="E25:E39" si="4">+$E$8</f>
        <v>226.90478691468232</v>
      </c>
      <c r="F25" s="357">
        <f>D25</f>
        <v>112</v>
      </c>
      <c r="G25" s="367">
        <f t="shared" ref="G25:G26" si="5">D25*E25</f>
        <v>25413.33613444442</v>
      </c>
      <c r="H25" s="434">
        <f t="shared" ref="H25:H26" si="6">+G25</f>
        <v>25413.33613444442</v>
      </c>
      <c r="J25" s="409"/>
      <c r="K25" s="409"/>
      <c r="L25" s="409"/>
      <c r="M25" s="409"/>
      <c r="N25" s="409"/>
      <c r="O25" s="409"/>
      <c r="P25" s="409"/>
      <c r="Q25" s="409"/>
      <c r="R25" s="409"/>
      <c r="S25" s="409"/>
    </row>
    <row r="26" spans="1:19" ht="30" customHeight="1" x14ac:dyDescent="0.25">
      <c r="A26" s="411" t="s">
        <v>252</v>
      </c>
      <c r="B26" s="415" t="s">
        <v>267</v>
      </c>
      <c r="C26" s="405" t="s">
        <v>171</v>
      </c>
      <c r="D26" s="400">
        <v>69</v>
      </c>
      <c r="E26" s="403">
        <f t="shared" si="4"/>
        <v>226.90478691468232</v>
      </c>
      <c r="F26" s="370">
        <f>D26</f>
        <v>69</v>
      </c>
      <c r="G26" s="367">
        <f t="shared" si="5"/>
        <v>15656.43029711308</v>
      </c>
      <c r="H26" s="434">
        <f t="shared" si="6"/>
        <v>15656.43029711308</v>
      </c>
      <c r="J26" s="416"/>
      <c r="K26" s="416"/>
      <c r="L26" s="416"/>
      <c r="M26" s="416"/>
      <c r="N26" s="416"/>
      <c r="O26" s="416"/>
      <c r="P26" s="417"/>
      <c r="Q26" s="416"/>
      <c r="R26" s="409"/>
      <c r="S26" s="409"/>
    </row>
    <row r="27" spans="1:19" ht="30" customHeight="1" x14ac:dyDescent="0.25">
      <c r="A27" s="413" t="s">
        <v>34</v>
      </c>
      <c r="B27" s="399"/>
      <c r="C27" s="399"/>
      <c r="D27" s="398"/>
      <c r="E27" s="402"/>
      <c r="F27" s="356"/>
      <c r="G27" s="365"/>
      <c r="H27" s="433"/>
      <c r="J27" s="416"/>
      <c r="K27" s="416"/>
      <c r="L27" s="416"/>
      <c r="M27" s="416"/>
      <c r="N27" s="416"/>
      <c r="O27" s="416"/>
      <c r="P27" s="409"/>
      <c r="Q27" s="416"/>
      <c r="R27" s="409"/>
      <c r="S27" s="409"/>
    </row>
    <row r="28" spans="1:19" ht="30" customHeight="1" x14ac:dyDescent="0.25">
      <c r="A28" s="411" t="s">
        <v>35</v>
      </c>
      <c r="B28" s="411" t="s">
        <v>419</v>
      </c>
      <c r="C28" s="405" t="s">
        <v>171</v>
      </c>
      <c r="D28" s="400">
        <v>112</v>
      </c>
      <c r="E28" s="403">
        <f>$E$26</f>
        <v>226.90478691468232</v>
      </c>
      <c r="F28" s="370">
        <f>D28</f>
        <v>112</v>
      </c>
      <c r="G28" s="367">
        <f t="shared" ref="G28:G30" si="7">D28*E28</f>
        <v>25413.33613444442</v>
      </c>
      <c r="H28" s="434">
        <f t="shared" ref="H28:H30" si="8">+G28</f>
        <v>25413.33613444442</v>
      </c>
      <c r="J28" s="416"/>
      <c r="K28" s="416"/>
      <c r="L28" s="416"/>
      <c r="M28" s="416"/>
      <c r="N28" s="416"/>
      <c r="O28" s="416"/>
      <c r="P28" s="409"/>
      <c r="Q28" s="416"/>
      <c r="R28" s="409"/>
      <c r="S28" s="409"/>
    </row>
    <row r="29" spans="1:19" ht="30" customHeight="1" x14ac:dyDescent="0.25">
      <c r="A29" s="411" t="s">
        <v>36</v>
      </c>
      <c r="B29" s="411" t="s">
        <v>419</v>
      </c>
      <c r="C29" s="405" t="s">
        <v>171</v>
      </c>
      <c r="D29" s="400">
        <v>112</v>
      </c>
      <c r="E29" s="403">
        <f t="shared" si="4"/>
        <v>226.90478691468232</v>
      </c>
      <c r="F29" s="357">
        <f t="shared" ref="F29:F30" si="9">D29</f>
        <v>112</v>
      </c>
      <c r="G29" s="367">
        <f t="shared" si="7"/>
        <v>25413.33613444442</v>
      </c>
      <c r="H29" s="434">
        <f t="shared" si="8"/>
        <v>25413.33613444442</v>
      </c>
      <c r="J29" s="416"/>
      <c r="K29" s="416"/>
      <c r="L29" s="416"/>
      <c r="M29" s="416"/>
      <c r="N29" s="416"/>
      <c r="O29" s="416"/>
      <c r="P29" s="409"/>
      <c r="Q29" s="416"/>
      <c r="R29" s="409"/>
      <c r="S29" s="409"/>
    </row>
    <row r="30" spans="1:19" ht="30" customHeight="1" x14ac:dyDescent="0.25">
      <c r="A30" s="411" t="s">
        <v>37</v>
      </c>
      <c r="B30" s="411" t="s">
        <v>419</v>
      </c>
      <c r="C30" s="405" t="s">
        <v>171</v>
      </c>
      <c r="D30" s="400">
        <v>112</v>
      </c>
      <c r="E30" s="403">
        <f t="shared" si="4"/>
        <v>226.90478691468232</v>
      </c>
      <c r="F30" s="357">
        <f t="shared" si="9"/>
        <v>112</v>
      </c>
      <c r="G30" s="367">
        <f t="shared" si="7"/>
        <v>25413.33613444442</v>
      </c>
      <c r="H30" s="434">
        <f t="shared" si="8"/>
        <v>25413.33613444442</v>
      </c>
      <c r="J30" s="416"/>
      <c r="K30" s="418"/>
      <c r="L30" s="416"/>
      <c r="M30" s="416"/>
      <c r="N30" s="416"/>
      <c r="O30" s="416"/>
      <c r="P30" s="409"/>
      <c r="Q30" s="416"/>
      <c r="R30" s="409"/>
      <c r="S30" s="409"/>
    </row>
    <row r="31" spans="1:19" ht="30" customHeight="1" x14ac:dyDescent="0.25">
      <c r="A31" s="413" t="s">
        <v>222</v>
      </c>
      <c r="B31" s="399"/>
      <c r="C31" s="399"/>
      <c r="D31" s="398"/>
      <c r="E31" s="402"/>
      <c r="F31" s="356"/>
      <c r="G31" s="365"/>
      <c r="H31" s="433"/>
      <c r="J31" s="416"/>
      <c r="K31" s="416"/>
      <c r="L31" s="416"/>
      <c r="M31" s="416"/>
      <c r="N31" s="416"/>
      <c r="O31" s="416"/>
      <c r="P31" s="409"/>
      <c r="Q31" s="416"/>
      <c r="R31" s="409"/>
      <c r="S31" s="409"/>
    </row>
    <row r="32" spans="1:19" ht="30" customHeight="1" x14ac:dyDescent="0.25">
      <c r="A32" s="411" t="s">
        <v>38</v>
      </c>
      <c r="B32" s="411" t="s">
        <v>419</v>
      </c>
      <c r="C32" s="405" t="s">
        <v>171</v>
      </c>
      <c r="D32" s="400">
        <v>112</v>
      </c>
      <c r="E32" s="403">
        <f t="shared" ref="E32:E33" si="10">$E$26</f>
        <v>226.90478691468232</v>
      </c>
      <c r="F32" s="370">
        <f>D32</f>
        <v>112</v>
      </c>
      <c r="G32" s="367">
        <f t="shared" ref="G32:G36" si="11">D32*E32</f>
        <v>25413.33613444442</v>
      </c>
      <c r="H32" s="434">
        <f t="shared" ref="H32:H36" si="12">+G32</f>
        <v>25413.33613444442</v>
      </c>
      <c r="J32" s="416"/>
      <c r="K32" s="416"/>
      <c r="L32" s="416"/>
      <c r="M32" s="416"/>
      <c r="N32" s="416"/>
      <c r="O32" s="416"/>
      <c r="P32" s="409"/>
      <c r="Q32" s="416"/>
      <c r="R32" s="409"/>
      <c r="S32" s="409"/>
    </row>
    <row r="33" spans="1:19" ht="30" customHeight="1" x14ac:dyDescent="0.25">
      <c r="A33" s="411" t="s">
        <v>39</v>
      </c>
      <c r="B33" s="411" t="s">
        <v>419</v>
      </c>
      <c r="C33" s="405" t="s">
        <v>171</v>
      </c>
      <c r="D33" s="400">
        <v>112</v>
      </c>
      <c r="E33" s="403">
        <f t="shared" si="10"/>
        <v>226.90478691468232</v>
      </c>
      <c r="F33" s="370">
        <f>D33</f>
        <v>112</v>
      </c>
      <c r="G33" s="367">
        <f t="shared" si="11"/>
        <v>25413.33613444442</v>
      </c>
      <c r="H33" s="434">
        <f t="shared" si="12"/>
        <v>25413.33613444442</v>
      </c>
      <c r="J33" s="416"/>
      <c r="K33" s="416"/>
      <c r="L33" s="416"/>
      <c r="M33" s="416"/>
      <c r="N33" s="416"/>
      <c r="O33" s="416"/>
      <c r="P33" s="409"/>
      <c r="Q33" s="416"/>
      <c r="R33" s="409"/>
      <c r="S33" s="409"/>
    </row>
    <row r="34" spans="1:19" ht="30" customHeight="1" x14ac:dyDescent="0.25">
      <c r="A34" s="411" t="s">
        <v>40</v>
      </c>
      <c r="B34" s="411" t="s">
        <v>419</v>
      </c>
      <c r="C34" s="405" t="s">
        <v>171</v>
      </c>
      <c r="D34" s="400">
        <v>112</v>
      </c>
      <c r="E34" s="403">
        <f t="shared" si="4"/>
        <v>226.90478691468232</v>
      </c>
      <c r="F34" s="357">
        <f t="shared" ref="F34:F36" si="13">D34</f>
        <v>112</v>
      </c>
      <c r="G34" s="367">
        <f t="shared" si="11"/>
        <v>25413.33613444442</v>
      </c>
      <c r="H34" s="434">
        <f t="shared" si="12"/>
        <v>25413.33613444442</v>
      </c>
      <c r="J34" s="416"/>
      <c r="K34" s="416"/>
      <c r="L34" s="416"/>
      <c r="M34" s="416"/>
      <c r="N34" s="416"/>
      <c r="O34" s="416"/>
      <c r="P34" s="417"/>
      <c r="Q34" s="416"/>
      <c r="R34" s="409"/>
      <c r="S34" s="409"/>
    </row>
    <row r="35" spans="1:19" ht="30" customHeight="1" x14ac:dyDescent="0.25">
      <c r="A35" s="411" t="s">
        <v>41</v>
      </c>
      <c r="B35" s="411" t="s">
        <v>419</v>
      </c>
      <c r="C35" s="405" t="s">
        <v>171</v>
      </c>
      <c r="D35" s="400">
        <v>112</v>
      </c>
      <c r="E35" s="403">
        <f>$E$26</f>
        <v>226.90478691468232</v>
      </c>
      <c r="F35" s="370">
        <f>D35</f>
        <v>112</v>
      </c>
      <c r="G35" s="367">
        <f t="shared" si="11"/>
        <v>25413.33613444442</v>
      </c>
      <c r="H35" s="434">
        <f t="shared" si="12"/>
        <v>25413.33613444442</v>
      </c>
      <c r="J35" s="409"/>
      <c r="K35" s="409"/>
      <c r="L35" s="409"/>
      <c r="M35" s="409"/>
      <c r="N35" s="409"/>
      <c r="O35" s="409"/>
      <c r="P35" s="409"/>
      <c r="Q35" s="416"/>
      <c r="R35" s="409"/>
      <c r="S35" s="409"/>
    </row>
    <row r="36" spans="1:19" ht="30" customHeight="1" x14ac:dyDescent="0.25">
      <c r="A36" s="411" t="s">
        <v>36</v>
      </c>
      <c r="B36" s="411" t="s">
        <v>419</v>
      </c>
      <c r="C36" s="405" t="s">
        <v>171</v>
      </c>
      <c r="D36" s="400">
        <v>112</v>
      </c>
      <c r="E36" s="403">
        <f t="shared" si="4"/>
        <v>226.90478691468232</v>
      </c>
      <c r="F36" s="357">
        <f t="shared" si="13"/>
        <v>112</v>
      </c>
      <c r="G36" s="367">
        <f t="shared" si="11"/>
        <v>25413.33613444442</v>
      </c>
      <c r="H36" s="434">
        <f t="shared" si="12"/>
        <v>25413.33613444442</v>
      </c>
      <c r="J36" s="409"/>
      <c r="K36" s="409"/>
      <c r="L36" s="409"/>
      <c r="M36" s="409"/>
      <c r="N36" s="409"/>
      <c r="O36" s="409"/>
      <c r="P36" s="409"/>
      <c r="Q36" s="416"/>
      <c r="R36" s="409"/>
      <c r="S36" s="409"/>
    </row>
    <row r="37" spans="1:19" ht="30" customHeight="1" x14ac:dyDescent="0.25">
      <c r="A37" s="413" t="s">
        <v>42</v>
      </c>
      <c r="B37" s="399"/>
      <c r="C37" s="399"/>
      <c r="D37" s="398"/>
      <c r="E37" s="402"/>
      <c r="F37" s="356"/>
      <c r="G37" s="365"/>
      <c r="H37" s="433"/>
      <c r="J37" s="409"/>
      <c r="K37" s="409"/>
      <c r="L37" s="409"/>
      <c r="M37" s="409"/>
      <c r="N37" s="409"/>
      <c r="O37" s="409"/>
      <c r="P37" s="409"/>
      <c r="Q37" s="419"/>
      <c r="R37" s="409"/>
      <c r="S37" s="409"/>
    </row>
    <row r="38" spans="1:19" ht="30" customHeight="1" x14ac:dyDescent="0.25">
      <c r="A38" s="411" t="s">
        <v>43</v>
      </c>
      <c r="B38" s="415" t="s">
        <v>268</v>
      </c>
      <c r="C38" s="405" t="s">
        <v>171</v>
      </c>
      <c r="D38" s="400">
        <f>4*69</f>
        <v>276</v>
      </c>
      <c r="E38" s="403">
        <f t="shared" si="4"/>
        <v>226.90478691468232</v>
      </c>
      <c r="F38" s="357">
        <f>D38</f>
        <v>276</v>
      </c>
      <c r="G38" s="367">
        <f t="shared" ref="G38:G39" si="14">D38*E38</f>
        <v>62625.72118845232</v>
      </c>
      <c r="H38" s="434">
        <f t="shared" ref="H38:H39" si="15">+G38</f>
        <v>62625.72118845232</v>
      </c>
      <c r="J38" s="409"/>
      <c r="K38" s="409"/>
      <c r="L38" s="409"/>
      <c r="M38" s="409"/>
      <c r="N38" s="409"/>
      <c r="O38" s="409"/>
      <c r="P38" s="409"/>
      <c r="Q38" s="416"/>
      <c r="R38" s="409"/>
      <c r="S38" s="417"/>
    </row>
    <row r="39" spans="1:19" ht="30" customHeight="1" x14ac:dyDescent="0.25">
      <c r="A39" s="411" t="s">
        <v>44</v>
      </c>
      <c r="B39" s="415" t="s">
        <v>268</v>
      </c>
      <c r="C39" s="405" t="s">
        <v>171</v>
      </c>
      <c r="D39" s="400">
        <f>4*69</f>
        <v>276</v>
      </c>
      <c r="E39" s="401">
        <f t="shared" si="4"/>
        <v>226.90478691468232</v>
      </c>
      <c r="F39" s="357">
        <f>D39</f>
        <v>276</v>
      </c>
      <c r="G39" s="367">
        <f t="shared" si="14"/>
        <v>62625.72118845232</v>
      </c>
      <c r="H39" s="434">
        <f t="shared" si="15"/>
        <v>62625.72118845232</v>
      </c>
    </row>
    <row r="40" spans="1:19" ht="30" customHeight="1" x14ac:dyDescent="0.25">
      <c r="A40" s="413" t="s">
        <v>235</v>
      </c>
      <c r="B40" s="399"/>
      <c r="C40" s="399"/>
      <c r="D40" s="398"/>
      <c r="E40" s="402"/>
      <c r="F40" s="356"/>
      <c r="G40" s="365"/>
      <c r="H40" s="433"/>
    </row>
    <row r="41" spans="1:19" ht="30" customHeight="1" x14ac:dyDescent="0.25">
      <c r="A41" s="411" t="s">
        <v>45</v>
      </c>
      <c r="B41" s="405" t="s">
        <v>221</v>
      </c>
      <c r="C41" s="405" t="s">
        <v>221</v>
      </c>
      <c r="D41" s="400"/>
      <c r="E41" s="403"/>
      <c r="F41" s="357"/>
      <c r="G41" s="367"/>
      <c r="H41" s="434">
        <f t="shared" ref="H41:H42" si="16">+G41</f>
        <v>0</v>
      </c>
    </row>
    <row r="42" spans="1:19" ht="30" customHeight="1" x14ac:dyDescent="0.25">
      <c r="A42" s="411" t="s">
        <v>46</v>
      </c>
      <c r="B42" s="405" t="s">
        <v>221</v>
      </c>
      <c r="C42" s="405" t="s">
        <v>221</v>
      </c>
      <c r="D42" s="400"/>
      <c r="E42" s="403"/>
      <c r="F42" s="357"/>
      <c r="G42" s="367"/>
      <c r="H42" s="434">
        <f t="shared" si="16"/>
        <v>0</v>
      </c>
    </row>
    <row r="43" spans="1:19" ht="30" customHeight="1" x14ac:dyDescent="0.25">
      <c r="A43" s="413" t="s">
        <v>234</v>
      </c>
      <c r="B43" s="399"/>
      <c r="C43" s="399"/>
      <c r="D43" s="398"/>
      <c r="E43" s="402"/>
      <c r="F43" s="356"/>
      <c r="G43" s="365"/>
      <c r="H43" s="433"/>
    </row>
    <row r="44" spans="1:19" ht="30" customHeight="1" x14ac:dyDescent="0.25">
      <c r="A44" s="411" t="s">
        <v>47</v>
      </c>
      <c r="B44" s="405" t="s">
        <v>221</v>
      </c>
      <c r="C44" s="405" t="s">
        <v>221</v>
      </c>
      <c r="D44" s="400"/>
      <c r="E44" s="403"/>
      <c r="F44" s="357"/>
      <c r="G44" s="367"/>
      <c r="H44" s="434">
        <f t="shared" ref="H44:H47" si="17">+G44</f>
        <v>0</v>
      </c>
    </row>
    <row r="45" spans="1:19" ht="30" customHeight="1" x14ac:dyDescent="0.25">
      <c r="A45" s="411" t="s">
        <v>48</v>
      </c>
      <c r="B45" s="405" t="s">
        <v>221</v>
      </c>
      <c r="C45" s="405" t="s">
        <v>221</v>
      </c>
      <c r="D45" s="400"/>
      <c r="E45" s="403"/>
      <c r="F45" s="357"/>
      <c r="G45" s="367"/>
      <c r="H45" s="434">
        <f t="shared" si="17"/>
        <v>0</v>
      </c>
    </row>
    <row r="46" spans="1:19" ht="30" customHeight="1" x14ac:dyDescent="0.25">
      <c r="A46" s="411" t="s">
        <v>49</v>
      </c>
      <c r="B46" s="405" t="s">
        <v>221</v>
      </c>
      <c r="C46" s="405" t="s">
        <v>221</v>
      </c>
      <c r="D46" s="400"/>
      <c r="E46" s="403"/>
      <c r="F46" s="357"/>
      <c r="G46" s="367"/>
      <c r="H46" s="434">
        <f t="shared" si="17"/>
        <v>0</v>
      </c>
    </row>
    <row r="47" spans="1:19" ht="30" customHeight="1" x14ac:dyDescent="0.25">
      <c r="A47" s="411" t="s">
        <v>50</v>
      </c>
      <c r="B47" s="405" t="s">
        <v>221</v>
      </c>
      <c r="C47" s="405" t="s">
        <v>221</v>
      </c>
      <c r="D47" s="400"/>
      <c r="E47" s="403"/>
      <c r="F47" s="357"/>
      <c r="G47" s="367"/>
      <c r="H47" s="434">
        <f t="shared" si="17"/>
        <v>0</v>
      </c>
    </row>
    <row r="48" spans="1:19" ht="30" customHeight="1" x14ac:dyDescent="0.25">
      <c r="A48" s="413" t="s">
        <v>269</v>
      </c>
      <c r="B48" s="399"/>
      <c r="C48" s="399"/>
      <c r="D48" s="398"/>
      <c r="E48" s="402"/>
      <c r="F48" s="356"/>
      <c r="G48" s="365"/>
      <c r="H48" s="433"/>
    </row>
    <row r="49" spans="1:8" ht="30" customHeight="1" x14ac:dyDescent="0.25">
      <c r="A49" s="411" t="s">
        <v>51</v>
      </c>
      <c r="B49" s="415" t="s">
        <v>406</v>
      </c>
      <c r="C49" s="405" t="s">
        <v>171</v>
      </c>
      <c r="D49" s="400">
        <v>112</v>
      </c>
      <c r="E49" s="403">
        <f t="shared" ref="E49:E54" si="18">+$E$8</f>
        <v>226.90478691468232</v>
      </c>
      <c r="F49" s="357">
        <f>D49</f>
        <v>112</v>
      </c>
      <c r="G49" s="367">
        <f t="shared" ref="G49:G57" si="19">D49*E49</f>
        <v>25413.33613444442</v>
      </c>
      <c r="H49" s="434">
        <f t="shared" ref="H49:H57" si="20">+G49</f>
        <v>25413.33613444442</v>
      </c>
    </row>
    <row r="50" spans="1:8" ht="30" customHeight="1" x14ac:dyDescent="0.25">
      <c r="A50" s="411" t="s">
        <v>52</v>
      </c>
      <c r="B50" s="415" t="s">
        <v>425</v>
      </c>
      <c r="C50" s="405" t="s">
        <v>171</v>
      </c>
      <c r="D50" s="400">
        <v>56</v>
      </c>
      <c r="E50" s="403">
        <f t="shared" ref="E50:E53" si="21">$E$26</f>
        <v>226.90478691468232</v>
      </c>
      <c r="F50" s="370">
        <f>D50</f>
        <v>56</v>
      </c>
      <c r="G50" s="367">
        <f t="shared" si="19"/>
        <v>12706.66806722221</v>
      </c>
      <c r="H50" s="434">
        <f t="shared" si="20"/>
        <v>12706.66806722221</v>
      </c>
    </row>
    <row r="51" spans="1:8" ht="30" customHeight="1" x14ac:dyDescent="0.25">
      <c r="A51" s="411" t="s">
        <v>53</v>
      </c>
      <c r="B51" s="415" t="s">
        <v>406</v>
      </c>
      <c r="C51" s="405" t="s">
        <v>171</v>
      </c>
      <c r="D51" s="400">
        <v>112</v>
      </c>
      <c r="E51" s="403">
        <f t="shared" si="21"/>
        <v>226.90478691468232</v>
      </c>
      <c r="F51" s="370">
        <f>D51</f>
        <v>112</v>
      </c>
      <c r="G51" s="367">
        <f t="shared" si="19"/>
        <v>25413.33613444442</v>
      </c>
      <c r="H51" s="434">
        <f t="shared" si="20"/>
        <v>25413.33613444442</v>
      </c>
    </row>
    <row r="52" spans="1:8" ht="30" customHeight="1" x14ac:dyDescent="0.25">
      <c r="A52" s="411" t="s">
        <v>54</v>
      </c>
      <c r="B52" s="405" t="s">
        <v>408</v>
      </c>
      <c r="C52" s="405" t="s">
        <v>171</v>
      </c>
      <c r="D52" s="400">
        <v>64</v>
      </c>
      <c r="E52" s="403">
        <f t="shared" si="21"/>
        <v>226.90478691468232</v>
      </c>
      <c r="F52" s="370">
        <f>D52</f>
        <v>64</v>
      </c>
      <c r="G52" s="367">
        <f t="shared" si="19"/>
        <v>14521.906362539668</v>
      </c>
      <c r="H52" s="434">
        <f t="shared" si="20"/>
        <v>14521.906362539668</v>
      </c>
    </row>
    <row r="53" spans="1:8" ht="30" customHeight="1" x14ac:dyDescent="0.25">
      <c r="A53" s="411" t="s">
        <v>55</v>
      </c>
      <c r="B53" s="415" t="s">
        <v>406</v>
      </c>
      <c r="C53" s="405" t="s">
        <v>171</v>
      </c>
      <c r="D53" s="400">
        <v>112</v>
      </c>
      <c r="E53" s="403">
        <f t="shared" si="21"/>
        <v>226.90478691468232</v>
      </c>
      <c r="F53" s="370">
        <f>D53</f>
        <v>112</v>
      </c>
      <c r="G53" s="367">
        <f t="shared" si="19"/>
        <v>25413.33613444442</v>
      </c>
      <c r="H53" s="434">
        <f t="shared" si="20"/>
        <v>25413.33613444442</v>
      </c>
    </row>
    <row r="54" spans="1:8" ht="30" customHeight="1" x14ac:dyDescent="0.25">
      <c r="A54" s="411" t="s">
        <v>56</v>
      </c>
      <c r="B54" s="415" t="s">
        <v>406</v>
      </c>
      <c r="C54" s="405" t="s">
        <v>171</v>
      </c>
      <c r="D54" s="400">
        <v>112</v>
      </c>
      <c r="E54" s="403">
        <f t="shared" si="18"/>
        <v>226.90478691468232</v>
      </c>
      <c r="F54" s="357">
        <f t="shared" ref="F54" si="22">D54</f>
        <v>112</v>
      </c>
      <c r="G54" s="367">
        <f t="shared" si="19"/>
        <v>25413.33613444442</v>
      </c>
      <c r="H54" s="434">
        <f t="shared" si="20"/>
        <v>25413.33613444442</v>
      </c>
    </row>
    <row r="55" spans="1:8" ht="30" customHeight="1" x14ac:dyDescent="0.25">
      <c r="A55" s="411" t="s">
        <v>57</v>
      </c>
      <c r="B55" s="415" t="s">
        <v>406</v>
      </c>
      <c r="C55" s="405" t="s">
        <v>171</v>
      </c>
      <c r="D55" s="400">
        <v>112</v>
      </c>
      <c r="E55" s="403">
        <f t="shared" ref="E55:E57" si="23">$E$26</f>
        <v>226.90478691468232</v>
      </c>
      <c r="F55" s="370">
        <f>D55</f>
        <v>112</v>
      </c>
      <c r="G55" s="367">
        <f t="shared" si="19"/>
        <v>25413.33613444442</v>
      </c>
      <c r="H55" s="434">
        <f t="shared" si="20"/>
        <v>25413.33613444442</v>
      </c>
    </row>
    <row r="56" spans="1:8" ht="30" customHeight="1" x14ac:dyDescent="0.25">
      <c r="A56" s="411" t="s">
        <v>58</v>
      </c>
      <c r="B56" s="405" t="s">
        <v>409</v>
      </c>
      <c r="C56" s="405" t="s">
        <v>171</v>
      </c>
      <c r="D56" s="400">
        <v>16</v>
      </c>
      <c r="E56" s="403">
        <f t="shared" si="23"/>
        <v>226.90478691468232</v>
      </c>
      <c r="F56" s="370">
        <f>D56</f>
        <v>16</v>
      </c>
      <c r="G56" s="367">
        <f t="shared" si="19"/>
        <v>3630.4765906349171</v>
      </c>
      <c r="H56" s="434">
        <f t="shared" si="20"/>
        <v>3630.4765906349171</v>
      </c>
    </row>
    <row r="57" spans="1:8" ht="30" customHeight="1" x14ac:dyDescent="0.25">
      <c r="A57" s="411" t="s">
        <v>59</v>
      </c>
      <c r="B57" s="405" t="s">
        <v>410</v>
      </c>
      <c r="C57" s="405" t="s">
        <v>171</v>
      </c>
      <c r="D57" s="400">
        <v>32</v>
      </c>
      <c r="E57" s="401">
        <f t="shared" si="23"/>
        <v>226.90478691468232</v>
      </c>
      <c r="F57" s="370">
        <f>D57</f>
        <v>32</v>
      </c>
      <c r="G57" s="367">
        <f t="shared" si="19"/>
        <v>7260.9531812698342</v>
      </c>
      <c r="H57" s="434">
        <f t="shared" si="20"/>
        <v>7260.9531812698342</v>
      </c>
    </row>
    <row r="58" spans="1:8" ht="30" customHeight="1" x14ac:dyDescent="0.25">
      <c r="A58" s="414" t="s">
        <v>203</v>
      </c>
      <c r="B58" s="404"/>
      <c r="C58" s="404"/>
      <c r="D58" s="353"/>
      <c r="E58" s="404"/>
      <c r="F58" s="358"/>
      <c r="G58" s="368"/>
      <c r="H58" s="435">
        <f>SUM(H25:H57)</f>
        <v>534814.58275790617</v>
      </c>
    </row>
    <row r="59" spans="1:8" ht="30" customHeight="1" x14ac:dyDescent="0.25">
      <c r="A59" s="412" t="s">
        <v>9</v>
      </c>
      <c r="B59" s="397"/>
      <c r="C59" s="397"/>
      <c r="D59" s="396"/>
      <c r="E59" s="397"/>
      <c r="F59" s="359"/>
      <c r="G59" s="364"/>
      <c r="H59" s="432"/>
    </row>
    <row r="60" spans="1:8" x14ac:dyDescent="0.25">
      <c r="A60" s="413" t="s">
        <v>60</v>
      </c>
      <c r="B60" s="399"/>
      <c r="C60" s="399"/>
      <c r="D60" s="398"/>
      <c r="E60" s="399"/>
      <c r="F60" s="354"/>
      <c r="G60" s="365"/>
      <c r="H60" s="433"/>
    </row>
    <row r="61" spans="1:8" ht="30" x14ac:dyDescent="0.25">
      <c r="A61" s="411" t="s">
        <v>61</v>
      </c>
      <c r="B61" s="405" t="s">
        <v>223</v>
      </c>
      <c r="C61" s="405"/>
      <c r="D61" s="400"/>
      <c r="E61" s="405" t="s">
        <v>221</v>
      </c>
      <c r="F61" s="360"/>
      <c r="G61" s="367"/>
      <c r="H61" s="434">
        <f t="shared" ref="H61:H66" si="24">+G61</f>
        <v>0</v>
      </c>
    </row>
    <row r="62" spans="1:8" x14ac:dyDescent="0.25">
      <c r="A62" s="411" t="s">
        <v>62</v>
      </c>
      <c r="B62" s="405" t="s">
        <v>223</v>
      </c>
      <c r="C62" s="405"/>
      <c r="D62" s="400"/>
      <c r="E62" s="405" t="s">
        <v>221</v>
      </c>
      <c r="F62" s="360"/>
      <c r="G62" s="367"/>
      <c r="H62" s="434">
        <f t="shared" si="24"/>
        <v>0</v>
      </c>
    </row>
    <row r="63" spans="1:8" ht="30.6" customHeight="1" x14ac:dyDescent="0.25">
      <c r="A63" s="411" t="s">
        <v>63</v>
      </c>
      <c r="B63" s="405" t="s">
        <v>223</v>
      </c>
      <c r="C63" s="405"/>
      <c r="D63" s="400"/>
      <c r="E63" s="405" t="s">
        <v>221</v>
      </c>
      <c r="F63" s="360"/>
      <c r="G63" s="367"/>
      <c r="H63" s="434">
        <f t="shared" si="24"/>
        <v>0</v>
      </c>
    </row>
    <row r="64" spans="1:8" ht="30.6" customHeight="1" x14ac:dyDescent="0.25">
      <c r="A64" s="411" t="s">
        <v>41</v>
      </c>
      <c r="B64" s="405" t="s">
        <v>223</v>
      </c>
      <c r="C64" s="405"/>
      <c r="D64" s="400"/>
      <c r="E64" s="405" t="s">
        <v>221</v>
      </c>
      <c r="F64" s="360"/>
      <c r="G64" s="367"/>
      <c r="H64" s="434">
        <f t="shared" si="24"/>
        <v>0</v>
      </c>
    </row>
    <row r="65" spans="1:8" ht="30.6" customHeight="1" x14ac:dyDescent="0.25">
      <c r="A65" s="411" t="s">
        <v>36</v>
      </c>
      <c r="B65" s="405" t="s">
        <v>223</v>
      </c>
      <c r="C65" s="405"/>
      <c r="D65" s="400"/>
      <c r="E65" s="405" t="s">
        <v>221</v>
      </c>
      <c r="F65" s="360"/>
      <c r="G65" s="367"/>
      <c r="H65" s="434">
        <f t="shared" si="24"/>
        <v>0</v>
      </c>
    </row>
    <row r="66" spans="1:8" ht="30.6" customHeight="1" x14ac:dyDescent="0.25">
      <c r="A66" s="411" t="s">
        <v>64</v>
      </c>
      <c r="B66" s="405" t="s">
        <v>223</v>
      </c>
      <c r="C66" s="405"/>
      <c r="D66" s="400"/>
      <c r="E66" s="405" t="s">
        <v>221</v>
      </c>
      <c r="F66" s="360"/>
      <c r="G66" s="367"/>
      <c r="H66" s="434">
        <f t="shared" si="24"/>
        <v>0</v>
      </c>
    </row>
    <row r="67" spans="1:8" ht="30.6" customHeight="1" x14ac:dyDescent="0.25">
      <c r="A67" s="414" t="s">
        <v>216</v>
      </c>
      <c r="B67" s="404"/>
      <c r="C67" s="404"/>
      <c r="D67" s="353"/>
      <c r="E67" s="404"/>
      <c r="F67" s="358"/>
      <c r="G67" s="368"/>
      <c r="H67" s="435"/>
    </row>
    <row r="68" spans="1:8" ht="30.6" customHeight="1" x14ac:dyDescent="0.25">
      <c r="A68" s="412" t="s">
        <v>12</v>
      </c>
      <c r="B68" s="397"/>
      <c r="C68" s="397"/>
      <c r="D68" s="396"/>
      <c r="E68" s="397"/>
      <c r="F68" s="359"/>
      <c r="G68" s="364"/>
      <c r="H68" s="432"/>
    </row>
    <row r="69" spans="1:8" ht="30.6" customHeight="1" x14ac:dyDescent="0.25">
      <c r="A69" s="413" t="s">
        <v>65</v>
      </c>
      <c r="B69" s="399"/>
      <c r="C69" s="399"/>
      <c r="D69" s="398"/>
      <c r="E69" s="399"/>
      <c r="F69" s="354"/>
      <c r="G69" s="365"/>
      <c r="H69" s="433"/>
    </row>
    <row r="70" spans="1:8" ht="30" x14ac:dyDescent="0.25">
      <c r="A70" s="411" t="s">
        <v>66</v>
      </c>
      <c r="B70" s="415" t="s">
        <v>406</v>
      </c>
      <c r="C70" s="405" t="s">
        <v>171</v>
      </c>
      <c r="D70" s="400">
        <v>112</v>
      </c>
      <c r="E70" s="403">
        <f t="shared" ref="E70:E72" si="25">$E$26</f>
        <v>226.90478691468232</v>
      </c>
      <c r="F70" s="370">
        <f>D70</f>
        <v>112</v>
      </c>
      <c r="G70" s="367">
        <f t="shared" ref="G70:G75" si="26">D70*E70</f>
        <v>25413.33613444442</v>
      </c>
      <c r="H70" s="434">
        <f t="shared" ref="H70:H75" si="27">+G70</f>
        <v>25413.33613444442</v>
      </c>
    </row>
    <row r="71" spans="1:8" ht="30" x14ac:dyDescent="0.25">
      <c r="A71" s="411" t="s">
        <v>67</v>
      </c>
      <c r="B71" s="415" t="s">
        <v>406</v>
      </c>
      <c r="C71" s="405" t="s">
        <v>171</v>
      </c>
      <c r="D71" s="400">
        <v>112</v>
      </c>
      <c r="E71" s="403">
        <f t="shared" si="25"/>
        <v>226.90478691468232</v>
      </c>
      <c r="F71" s="370">
        <f>D71</f>
        <v>112</v>
      </c>
      <c r="G71" s="367">
        <f t="shared" si="26"/>
        <v>25413.33613444442</v>
      </c>
      <c r="H71" s="434">
        <f t="shared" si="27"/>
        <v>25413.33613444442</v>
      </c>
    </row>
    <row r="72" spans="1:8" ht="30" x14ac:dyDescent="0.25">
      <c r="A72" s="411" t="s">
        <v>41</v>
      </c>
      <c r="B72" s="411" t="s">
        <v>407</v>
      </c>
      <c r="C72" s="405" t="s">
        <v>171</v>
      </c>
      <c r="D72" s="400">
        <v>224</v>
      </c>
      <c r="E72" s="403">
        <f t="shared" si="25"/>
        <v>226.90478691468232</v>
      </c>
      <c r="F72" s="370">
        <f>D72</f>
        <v>224</v>
      </c>
      <c r="G72" s="367">
        <f t="shared" si="26"/>
        <v>50826.67226888884</v>
      </c>
      <c r="H72" s="434">
        <f t="shared" si="27"/>
        <v>50826.67226888884</v>
      </c>
    </row>
    <row r="73" spans="1:8" ht="27" customHeight="1" x14ac:dyDescent="0.25">
      <c r="A73" s="411" t="s">
        <v>36</v>
      </c>
      <c r="B73" s="411" t="s">
        <v>419</v>
      </c>
      <c r="C73" s="405" t="s">
        <v>171</v>
      </c>
      <c r="D73" s="400">
        <v>112</v>
      </c>
      <c r="E73" s="403">
        <f t="shared" ref="E73:E75" si="28">+$E$8</f>
        <v>226.90478691468232</v>
      </c>
      <c r="F73" s="357">
        <f t="shared" ref="F73:F75" si="29">D73</f>
        <v>112</v>
      </c>
      <c r="G73" s="367">
        <f t="shared" si="26"/>
        <v>25413.33613444442</v>
      </c>
      <c r="H73" s="434">
        <f t="shared" si="27"/>
        <v>25413.33613444442</v>
      </c>
    </row>
    <row r="74" spans="1:8" ht="27" customHeight="1" x14ac:dyDescent="0.25">
      <c r="A74" s="411" t="s">
        <v>68</v>
      </c>
      <c r="B74" s="411" t="s">
        <v>419</v>
      </c>
      <c r="C74" s="405" t="s">
        <v>171</v>
      </c>
      <c r="D74" s="400">
        <v>112</v>
      </c>
      <c r="E74" s="403">
        <f t="shared" si="28"/>
        <v>226.90478691468232</v>
      </c>
      <c r="F74" s="357">
        <f t="shared" si="29"/>
        <v>112</v>
      </c>
      <c r="G74" s="367">
        <f t="shared" si="26"/>
        <v>25413.33613444442</v>
      </c>
      <c r="H74" s="434">
        <f t="shared" si="27"/>
        <v>25413.33613444442</v>
      </c>
    </row>
    <row r="75" spans="1:8" ht="27" customHeight="1" x14ac:dyDescent="0.25">
      <c r="A75" s="411" t="s">
        <v>69</v>
      </c>
      <c r="B75" s="411" t="s">
        <v>419</v>
      </c>
      <c r="C75" s="405" t="s">
        <v>171</v>
      </c>
      <c r="D75" s="400">
        <v>112</v>
      </c>
      <c r="E75" s="403">
        <f t="shared" si="28"/>
        <v>226.90478691468232</v>
      </c>
      <c r="F75" s="357">
        <f t="shared" si="29"/>
        <v>112</v>
      </c>
      <c r="G75" s="367">
        <f t="shared" si="26"/>
        <v>25413.33613444442</v>
      </c>
      <c r="H75" s="434">
        <f t="shared" si="27"/>
        <v>25413.33613444442</v>
      </c>
    </row>
    <row r="76" spans="1:8" ht="27" customHeight="1" x14ac:dyDescent="0.25">
      <c r="A76" s="414" t="s">
        <v>217</v>
      </c>
      <c r="B76" s="404"/>
      <c r="C76" s="404"/>
      <c r="D76" s="353"/>
      <c r="E76" s="404"/>
      <c r="F76" s="358"/>
      <c r="G76" s="7"/>
      <c r="H76" s="435">
        <f>SUM(H70:H75)</f>
        <v>177893.35294111096</v>
      </c>
    </row>
    <row r="77" spans="1:8" ht="27" customHeight="1" x14ac:dyDescent="0.25">
      <c r="A77" s="412" t="s">
        <v>70</v>
      </c>
      <c r="B77" s="397"/>
      <c r="C77" s="397"/>
      <c r="D77" s="396"/>
      <c r="E77" s="397"/>
      <c r="F77" s="359"/>
      <c r="G77" s="364"/>
      <c r="H77" s="432"/>
    </row>
    <row r="78" spans="1:8" ht="27" customHeight="1" x14ac:dyDescent="0.25">
      <c r="A78" s="413" t="s">
        <v>71</v>
      </c>
      <c r="B78" s="399"/>
      <c r="C78" s="399"/>
      <c r="D78" s="398"/>
      <c r="E78" s="399"/>
      <c r="F78" s="354"/>
      <c r="G78" s="365"/>
      <c r="H78" s="433"/>
    </row>
    <row r="79" spans="1:8" ht="27" customHeight="1" x14ac:dyDescent="0.25">
      <c r="A79" s="411" t="s">
        <v>72</v>
      </c>
      <c r="B79" s="415" t="s">
        <v>425</v>
      </c>
      <c r="C79" s="405" t="s">
        <v>171</v>
      </c>
      <c r="D79" s="400">
        <v>56</v>
      </c>
      <c r="E79" s="403">
        <f t="shared" ref="E79:E85" si="30">+$E$8</f>
        <v>226.90478691468232</v>
      </c>
      <c r="F79" s="357">
        <f>D79</f>
        <v>56</v>
      </c>
      <c r="G79" s="367">
        <f t="shared" ref="G79:G85" si="31">D79*E79</f>
        <v>12706.66806722221</v>
      </c>
      <c r="H79" s="434">
        <f t="shared" ref="H79:H87" si="32">+G79</f>
        <v>12706.66806722221</v>
      </c>
    </row>
    <row r="80" spans="1:8" ht="30" x14ac:dyDescent="0.25">
      <c r="A80" s="411" t="s">
        <v>73</v>
      </c>
      <c r="B80" s="415" t="s">
        <v>411</v>
      </c>
      <c r="C80" s="405" t="s">
        <v>171</v>
      </c>
      <c r="D80" s="400">
        <v>56</v>
      </c>
      <c r="E80" s="403">
        <f t="shared" si="30"/>
        <v>226.90478691468232</v>
      </c>
      <c r="F80" s="357">
        <f t="shared" ref="F80:F85" si="33">D80</f>
        <v>56</v>
      </c>
      <c r="G80" s="367">
        <f t="shared" si="31"/>
        <v>12706.66806722221</v>
      </c>
      <c r="H80" s="434">
        <f t="shared" si="32"/>
        <v>12706.66806722221</v>
      </c>
    </row>
    <row r="81" spans="1:8" ht="30" x14ac:dyDescent="0.25">
      <c r="A81" s="411" t="s">
        <v>74</v>
      </c>
      <c r="B81" s="415" t="s">
        <v>411</v>
      </c>
      <c r="C81" s="405" t="s">
        <v>171</v>
      </c>
      <c r="D81" s="400">
        <v>56</v>
      </c>
      <c r="E81" s="403">
        <f t="shared" si="30"/>
        <v>226.90478691468232</v>
      </c>
      <c r="F81" s="357">
        <f t="shared" si="33"/>
        <v>56</v>
      </c>
      <c r="G81" s="367">
        <f t="shared" si="31"/>
        <v>12706.66806722221</v>
      </c>
      <c r="H81" s="434">
        <f t="shared" si="32"/>
        <v>12706.66806722221</v>
      </c>
    </row>
    <row r="82" spans="1:8" ht="30" x14ac:dyDescent="0.25">
      <c r="A82" s="411" t="s">
        <v>75</v>
      </c>
      <c r="B82" s="415" t="s">
        <v>270</v>
      </c>
      <c r="C82" s="405" t="s">
        <v>171</v>
      </c>
      <c r="D82" s="400">
        <f>4*39</f>
        <v>156</v>
      </c>
      <c r="E82" s="403">
        <f t="shared" si="30"/>
        <v>226.90478691468232</v>
      </c>
      <c r="F82" s="357">
        <f t="shared" si="33"/>
        <v>156</v>
      </c>
      <c r="G82" s="367">
        <f t="shared" si="31"/>
        <v>35397.14675869044</v>
      </c>
      <c r="H82" s="434">
        <f t="shared" si="32"/>
        <v>35397.14675869044</v>
      </c>
    </row>
    <row r="83" spans="1:8" ht="28.15" customHeight="1" x14ac:dyDescent="0.25">
      <c r="A83" s="411" t="s">
        <v>76</v>
      </c>
      <c r="B83" s="415" t="s">
        <v>411</v>
      </c>
      <c r="C83" s="405" t="s">
        <v>171</v>
      </c>
      <c r="D83" s="400">
        <v>56</v>
      </c>
      <c r="E83" s="403">
        <f t="shared" si="30"/>
        <v>226.90478691468232</v>
      </c>
      <c r="F83" s="357">
        <f t="shared" si="33"/>
        <v>56</v>
      </c>
      <c r="G83" s="367">
        <f t="shared" si="31"/>
        <v>12706.66806722221</v>
      </c>
      <c r="H83" s="434">
        <f t="shared" si="32"/>
        <v>12706.66806722221</v>
      </c>
    </row>
    <row r="84" spans="1:8" ht="28.15" customHeight="1" x14ac:dyDescent="0.25">
      <c r="A84" s="411" t="s">
        <v>77</v>
      </c>
      <c r="B84" s="415" t="s">
        <v>411</v>
      </c>
      <c r="C84" s="405" t="s">
        <v>171</v>
      </c>
      <c r="D84" s="400">
        <v>56</v>
      </c>
      <c r="E84" s="403">
        <f t="shared" si="30"/>
        <v>226.90478691468232</v>
      </c>
      <c r="F84" s="357">
        <f t="shared" si="33"/>
        <v>56</v>
      </c>
      <c r="G84" s="367">
        <f t="shared" si="31"/>
        <v>12706.66806722221</v>
      </c>
      <c r="H84" s="434">
        <f t="shared" si="32"/>
        <v>12706.66806722221</v>
      </c>
    </row>
    <row r="85" spans="1:8" ht="28.15" customHeight="1" x14ac:dyDescent="0.25">
      <c r="A85" s="411" t="s">
        <v>63</v>
      </c>
      <c r="B85" s="415" t="s">
        <v>425</v>
      </c>
      <c r="C85" s="405" t="s">
        <v>171</v>
      </c>
      <c r="D85" s="400">
        <v>56</v>
      </c>
      <c r="E85" s="403">
        <f t="shared" si="30"/>
        <v>226.90478691468232</v>
      </c>
      <c r="F85" s="357">
        <f t="shared" si="33"/>
        <v>56</v>
      </c>
      <c r="G85" s="367">
        <f t="shared" si="31"/>
        <v>12706.66806722221</v>
      </c>
      <c r="H85" s="434">
        <f t="shared" si="32"/>
        <v>12706.66806722221</v>
      </c>
    </row>
    <row r="86" spans="1:8" ht="28.15" customHeight="1" x14ac:dyDescent="0.25">
      <c r="A86" s="411" t="s">
        <v>41</v>
      </c>
      <c r="B86" s="405" t="s">
        <v>224</v>
      </c>
      <c r="C86" s="405"/>
      <c r="D86" s="400"/>
      <c r="E86" s="405" t="s">
        <v>221</v>
      </c>
      <c r="F86" s="360"/>
      <c r="G86" s="367"/>
      <c r="H86" s="434">
        <f t="shared" si="32"/>
        <v>0</v>
      </c>
    </row>
    <row r="87" spans="1:8" ht="28.15" customHeight="1" x14ac:dyDescent="0.25">
      <c r="A87" s="411" t="s">
        <v>78</v>
      </c>
      <c r="B87" s="405" t="s">
        <v>224</v>
      </c>
      <c r="C87" s="405"/>
      <c r="D87" s="400"/>
      <c r="E87" s="405" t="s">
        <v>221</v>
      </c>
      <c r="F87" s="360"/>
      <c r="G87" s="367"/>
      <c r="H87" s="434">
        <f t="shared" si="32"/>
        <v>0</v>
      </c>
    </row>
    <row r="88" spans="1:8" ht="28.15" customHeight="1" x14ac:dyDescent="0.25">
      <c r="A88" s="414" t="s">
        <v>205</v>
      </c>
      <c r="B88" s="404"/>
      <c r="C88" s="404"/>
      <c r="D88" s="353"/>
      <c r="E88" s="404"/>
      <c r="F88" s="358"/>
      <c r="G88" s="368"/>
      <c r="H88" s="435">
        <f>SUM(H79:H87)</f>
        <v>111637.15516202372</v>
      </c>
    </row>
    <row r="89" spans="1:8" ht="28.15" customHeight="1" x14ac:dyDescent="0.25">
      <c r="A89" s="412" t="s">
        <v>79</v>
      </c>
      <c r="B89" s="397"/>
      <c r="C89" s="397"/>
      <c r="D89" s="396"/>
      <c r="E89" s="397"/>
      <c r="F89" s="359"/>
      <c r="G89" s="364"/>
      <c r="H89" s="432"/>
    </row>
    <row r="90" spans="1:8" ht="28.15" customHeight="1" x14ac:dyDescent="0.25">
      <c r="A90" s="413" t="s">
        <v>80</v>
      </c>
      <c r="B90" s="399"/>
      <c r="C90" s="399"/>
      <c r="D90" s="398"/>
      <c r="E90" s="399"/>
      <c r="F90" s="354"/>
      <c r="G90" s="365"/>
      <c r="H90" s="433"/>
    </row>
    <row r="91" spans="1:8" ht="28.15" customHeight="1" x14ac:dyDescent="0.25">
      <c r="A91" s="411" t="s">
        <v>81</v>
      </c>
      <c r="B91" s="415" t="s">
        <v>406</v>
      </c>
      <c r="C91" s="405" t="s">
        <v>171</v>
      </c>
      <c r="D91" s="400">
        <v>112</v>
      </c>
      <c r="E91" s="403">
        <v>226.9</v>
      </c>
      <c r="F91" s="370">
        <f>D91</f>
        <v>112</v>
      </c>
      <c r="G91" s="367">
        <f t="shared" ref="G91:G95" si="34">D91*E91</f>
        <v>25412.799999999999</v>
      </c>
      <c r="H91" s="434">
        <f t="shared" ref="H91:H95" si="35">+G91</f>
        <v>25412.799999999999</v>
      </c>
    </row>
    <row r="92" spans="1:8" ht="28.15" customHeight="1" x14ac:dyDescent="0.25">
      <c r="A92" s="411" t="s">
        <v>62</v>
      </c>
      <c r="B92" s="415" t="s">
        <v>406</v>
      </c>
      <c r="C92" s="405" t="s">
        <v>171</v>
      </c>
      <c r="D92" s="400">
        <v>112</v>
      </c>
      <c r="E92" s="403">
        <f>$E$91</f>
        <v>226.9</v>
      </c>
      <c r="F92" s="370">
        <f>D92</f>
        <v>112</v>
      </c>
      <c r="G92" s="367">
        <f t="shared" si="34"/>
        <v>25412.799999999999</v>
      </c>
      <c r="H92" s="434">
        <f t="shared" si="35"/>
        <v>25412.799999999999</v>
      </c>
    </row>
    <row r="93" spans="1:8" x14ac:dyDescent="0.25">
      <c r="A93" s="411" t="s">
        <v>63</v>
      </c>
      <c r="B93" s="415" t="s">
        <v>271</v>
      </c>
      <c r="C93" s="405" t="s">
        <v>171</v>
      </c>
      <c r="D93" s="400">
        <f>8*69</f>
        <v>552</v>
      </c>
      <c r="E93" s="403">
        <f t="shared" ref="E93:E95" si="36">+$E$8</f>
        <v>226.90478691468232</v>
      </c>
      <c r="F93" s="357">
        <f t="shared" ref="F93:F95" si="37">D93</f>
        <v>552</v>
      </c>
      <c r="G93" s="367">
        <f t="shared" si="34"/>
        <v>125251.44237690464</v>
      </c>
      <c r="H93" s="434">
        <f t="shared" si="35"/>
        <v>125251.44237690464</v>
      </c>
    </row>
    <row r="94" spans="1:8" ht="30" x14ac:dyDescent="0.25">
      <c r="A94" s="411" t="s">
        <v>41</v>
      </c>
      <c r="B94" s="411" t="s">
        <v>419</v>
      </c>
      <c r="C94" s="405" t="s">
        <v>171</v>
      </c>
      <c r="D94" s="400">
        <v>112</v>
      </c>
      <c r="E94" s="403">
        <f>$E$91</f>
        <v>226.9</v>
      </c>
      <c r="F94" s="370">
        <f>D94</f>
        <v>112</v>
      </c>
      <c r="G94" s="367">
        <f t="shared" si="34"/>
        <v>25412.799999999999</v>
      </c>
      <c r="H94" s="434">
        <f t="shared" si="35"/>
        <v>25412.799999999999</v>
      </c>
    </row>
    <row r="95" spans="1:8" x14ac:dyDescent="0.25">
      <c r="A95" s="411" t="s">
        <v>36</v>
      </c>
      <c r="B95" s="415" t="s">
        <v>425</v>
      </c>
      <c r="C95" s="405" t="s">
        <v>171</v>
      </c>
      <c r="D95" s="400">
        <v>56</v>
      </c>
      <c r="E95" s="403">
        <f t="shared" si="36"/>
        <v>226.90478691468232</v>
      </c>
      <c r="F95" s="357">
        <f t="shared" si="37"/>
        <v>56</v>
      </c>
      <c r="G95" s="367">
        <f t="shared" si="34"/>
        <v>12706.66806722221</v>
      </c>
      <c r="H95" s="434">
        <f t="shared" si="35"/>
        <v>12706.66806722221</v>
      </c>
    </row>
    <row r="96" spans="1:8" ht="28.15" customHeight="1" x14ac:dyDescent="0.25">
      <c r="A96" s="413" t="s">
        <v>82</v>
      </c>
      <c r="B96" s="399"/>
      <c r="C96" s="399"/>
      <c r="D96" s="398"/>
      <c r="E96" s="399"/>
      <c r="F96" s="354"/>
      <c r="G96" s="365"/>
      <c r="H96" s="433"/>
    </row>
    <row r="97" spans="1:8" ht="28.15" customHeight="1" x14ac:dyDescent="0.25">
      <c r="A97" s="411" t="s">
        <v>26</v>
      </c>
      <c r="B97" s="405" t="s">
        <v>230</v>
      </c>
      <c r="C97" s="405"/>
      <c r="D97" s="400"/>
      <c r="E97" s="405" t="s">
        <v>221</v>
      </c>
      <c r="F97" s="360"/>
      <c r="G97" s="367"/>
      <c r="H97" s="434">
        <f t="shared" ref="H97:H107" si="38">+G97</f>
        <v>0</v>
      </c>
    </row>
    <row r="98" spans="1:8" ht="28.15" customHeight="1" x14ac:dyDescent="0.25">
      <c r="A98" s="411" t="s">
        <v>83</v>
      </c>
      <c r="B98" s="405" t="s">
        <v>225</v>
      </c>
      <c r="C98" s="405"/>
      <c r="D98" s="400"/>
      <c r="E98" s="405" t="s">
        <v>221</v>
      </c>
      <c r="F98" s="360"/>
      <c r="G98" s="367"/>
      <c r="H98" s="434">
        <f t="shared" si="38"/>
        <v>0</v>
      </c>
    </row>
    <row r="99" spans="1:8" ht="28.15" customHeight="1" x14ac:dyDescent="0.25">
      <c r="A99" s="411" t="s">
        <v>84</v>
      </c>
      <c r="B99" s="405" t="s">
        <v>226</v>
      </c>
      <c r="C99" s="405"/>
      <c r="D99" s="400"/>
      <c r="E99" s="405" t="s">
        <v>221</v>
      </c>
      <c r="F99" s="360"/>
      <c r="G99" s="367"/>
      <c r="H99" s="434">
        <f t="shared" si="38"/>
        <v>0</v>
      </c>
    </row>
    <row r="100" spans="1:8" ht="28.15" customHeight="1" x14ac:dyDescent="0.25">
      <c r="A100" s="411" t="s">
        <v>85</v>
      </c>
      <c r="B100" s="405" t="s">
        <v>227</v>
      </c>
      <c r="C100" s="405"/>
      <c r="D100" s="400"/>
      <c r="E100" s="405" t="s">
        <v>221</v>
      </c>
      <c r="F100" s="360"/>
      <c r="G100" s="367"/>
      <c r="H100" s="434">
        <f t="shared" si="38"/>
        <v>0</v>
      </c>
    </row>
    <row r="101" spans="1:8" ht="28.15" customHeight="1" x14ac:dyDescent="0.25">
      <c r="A101" s="411" t="s">
        <v>86</v>
      </c>
      <c r="B101" s="405" t="s">
        <v>225</v>
      </c>
      <c r="C101" s="405"/>
      <c r="D101" s="400"/>
      <c r="E101" s="405" t="s">
        <v>221</v>
      </c>
      <c r="F101" s="360"/>
      <c r="G101" s="367"/>
      <c r="H101" s="434">
        <f t="shared" si="38"/>
        <v>0</v>
      </c>
    </row>
    <row r="102" spans="1:8" ht="28.15" customHeight="1" x14ac:dyDescent="0.25">
      <c r="A102" s="411" t="s">
        <v>87</v>
      </c>
      <c r="B102" s="405" t="s">
        <v>225</v>
      </c>
      <c r="C102" s="405"/>
      <c r="D102" s="400"/>
      <c r="E102" s="405" t="s">
        <v>221</v>
      </c>
      <c r="F102" s="360"/>
      <c r="G102" s="367"/>
      <c r="H102" s="434">
        <f t="shared" si="38"/>
        <v>0</v>
      </c>
    </row>
    <row r="103" spans="1:8" ht="28.15" customHeight="1" x14ac:dyDescent="0.25">
      <c r="A103" s="411" t="s">
        <v>88</v>
      </c>
      <c r="B103" s="405" t="s">
        <v>226</v>
      </c>
      <c r="C103" s="405"/>
      <c r="D103" s="400"/>
      <c r="E103" s="405" t="s">
        <v>221</v>
      </c>
      <c r="F103" s="360"/>
      <c r="G103" s="367"/>
      <c r="H103" s="434">
        <f t="shared" si="38"/>
        <v>0</v>
      </c>
    </row>
    <row r="104" spans="1:8" ht="28.15" customHeight="1" x14ac:dyDescent="0.25">
      <c r="A104" s="411" t="s">
        <v>89</v>
      </c>
      <c r="B104" s="405" t="s">
        <v>226</v>
      </c>
      <c r="C104" s="405"/>
      <c r="D104" s="400"/>
      <c r="E104" s="405" t="s">
        <v>221</v>
      </c>
      <c r="F104" s="360"/>
      <c r="G104" s="367"/>
      <c r="H104" s="434">
        <f t="shared" si="38"/>
        <v>0</v>
      </c>
    </row>
    <row r="105" spans="1:8" ht="28.15" customHeight="1" x14ac:dyDescent="0.25">
      <c r="A105" s="411" t="s">
        <v>90</v>
      </c>
      <c r="B105" s="405" t="s">
        <v>226</v>
      </c>
      <c r="C105" s="405"/>
      <c r="D105" s="400"/>
      <c r="E105" s="405" t="s">
        <v>221</v>
      </c>
      <c r="F105" s="360"/>
      <c r="G105" s="367"/>
      <c r="H105" s="434">
        <f t="shared" si="38"/>
        <v>0</v>
      </c>
    </row>
    <row r="106" spans="1:8" ht="28.15" customHeight="1" x14ac:dyDescent="0.25">
      <c r="A106" s="411" t="s">
        <v>91</v>
      </c>
      <c r="B106" s="405" t="s">
        <v>226</v>
      </c>
      <c r="C106" s="405"/>
      <c r="D106" s="400"/>
      <c r="E106" s="405" t="s">
        <v>221</v>
      </c>
      <c r="F106" s="360"/>
      <c r="G106" s="367"/>
      <c r="H106" s="434">
        <f t="shared" si="38"/>
        <v>0</v>
      </c>
    </row>
    <row r="107" spans="1:8" ht="28.15" customHeight="1" x14ac:dyDescent="0.25">
      <c r="A107" s="411" t="s">
        <v>92</v>
      </c>
      <c r="B107" s="405" t="s">
        <v>226</v>
      </c>
      <c r="C107" s="405"/>
      <c r="D107" s="400"/>
      <c r="E107" s="405" t="s">
        <v>221</v>
      </c>
      <c r="F107" s="360"/>
      <c r="G107" s="367"/>
      <c r="H107" s="434">
        <f t="shared" si="38"/>
        <v>0</v>
      </c>
    </row>
    <row r="108" spans="1:8" ht="28.15" customHeight="1" x14ac:dyDescent="0.25">
      <c r="A108" s="413" t="s">
        <v>231</v>
      </c>
      <c r="B108" s="399"/>
      <c r="C108" s="399"/>
      <c r="D108" s="398"/>
      <c r="E108" s="399"/>
      <c r="F108" s="354"/>
      <c r="G108" s="365"/>
      <c r="H108" s="433"/>
    </row>
    <row r="109" spans="1:8" ht="28.15" customHeight="1" x14ac:dyDescent="0.25">
      <c r="A109" s="411" t="s">
        <v>93</v>
      </c>
      <c r="B109" s="411" t="s">
        <v>228</v>
      </c>
      <c r="C109" s="405"/>
      <c r="D109" s="400"/>
      <c r="E109" s="405" t="s">
        <v>221</v>
      </c>
      <c r="F109" s="360"/>
      <c r="G109" s="367"/>
      <c r="H109" s="434">
        <f t="shared" ref="H109:H110" si="39">+G109</f>
        <v>0</v>
      </c>
    </row>
    <row r="110" spans="1:8" ht="28.15" customHeight="1" x14ac:dyDescent="0.25">
      <c r="A110" s="411" t="s">
        <v>94</v>
      </c>
      <c r="B110" s="411" t="s">
        <v>228</v>
      </c>
      <c r="C110" s="405"/>
      <c r="D110" s="400"/>
      <c r="E110" s="405" t="s">
        <v>221</v>
      </c>
      <c r="F110" s="360"/>
      <c r="G110" s="367"/>
      <c r="H110" s="434">
        <f t="shared" si="39"/>
        <v>0</v>
      </c>
    </row>
    <row r="111" spans="1:8" ht="28.15" customHeight="1" x14ac:dyDescent="0.25">
      <c r="A111" s="413" t="s">
        <v>95</v>
      </c>
      <c r="B111" s="413" t="s">
        <v>229</v>
      </c>
      <c r="C111" s="399"/>
      <c r="D111" s="398"/>
      <c r="E111" s="399" t="s">
        <v>221</v>
      </c>
      <c r="F111" s="354"/>
      <c r="G111" s="365"/>
      <c r="H111" s="433"/>
    </row>
    <row r="112" spans="1:8" ht="28.15" customHeight="1" x14ac:dyDescent="0.25">
      <c r="A112" s="411" t="s">
        <v>96</v>
      </c>
      <c r="B112" s="415" t="s">
        <v>406</v>
      </c>
      <c r="C112" s="405" t="s">
        <v>171</v>
      </c>
      <c r="D112" s="400">
        <v>112</v>
      </c>
      <c r="E112" s="403">
        <f>$E$91</f>
        <v>226.9</v>
      </c>
      <c r="F112" s="370">
        <f>D112</f>
        <v>112</v>
      </c>
      <c r="G112" s="367">
        <f>D112*E112</f>
        <v>25412.799999999999</v>
      </c>
      <c r="H112" s="434">
        <f t="shared" ref="H112" si="40">+G112</f>
        <v>25412.799999999999</v>
      </c>
    </row>
    <row r="113" spans="1:8" ht="28.15" customHeight="1" x14ac:dyDescent="0.25">
      <c r="A113" s="413" t="s">
        <v>97</v>
      </c>
      <c r="B113" s="399"/>
      <c r="C113" s="399"/>
      <c r="D113" s="398"/>
      <c r="E113" s="399"/>
      <c r="F113" s="354"/>
      <c r="G113" s="365"/>
      <c r="H113" s="433"/>
    </row>
    <row r="114" spans="1:8" ht="28.15" customHeight="1" x14ac:dyDescent="0.25">
      <c r="A114" s="411" t="s">
        <v>98</v>
      </c>
      <c r="B114" s="415" t="s">
        <v>478</v>
      </c>
      <c r="C114" s="405" t="s">
        <v>171</v>
      </c>
      <c r="D114" s="400">
        <v>192</v>
      </c>
      <c r="E114" s="403">
        <f>+$E$8</f>
        <v>226.90478691468232</v>
      </c>
      <c r="F114" s="357">
        <f>D114</f>
        <v>192</v>
      </c>
      <c r="G114" s="367">
        <f>D114*E114</f>
        <v>43565.719087619007</v>
      </c>
      <c r="H114" s="434">
        <f t="shared" ref="H114" si="41">+G114</f>
        <v>43565.719087619007</v>
      </c>
    </row>
    <row r="115" spans="1:8" ht="28.15" customHeight="1" thickBot="1" x14ac:dyDescent="0.3">
      <c r="A115" s="414" t="s">
        <v>206</v>
      </c>
      <c r="B115" s="404"/>
      <c r="C115" s="440"/>
      <c r="D115" s="441"/>
      <c r="E115" s="440"/>
      <c r="F115" s="442"/>
      <c r="G115" s="443"/>
      <c r="H115" s="436">
        <f>SUM(H91:H114)</f>
        <v>283175.02953174582</v>
      </c>
    </row>
    <row r="116" spans="1:8" ht="28.15" customHeight="1" thickBot="1" x14ac:dyDescent="0.3">
      <c r="A116" s="420" t="s">
        <v>232</v>
      </c>
      <c r="B116" s="406"/>
      <c r="C116" s="444" t="s">
        <v>242</v>
      </c>
      <c r="D116" s="445">
        <f>SUM(D4:D114)</f>
        <v>5096</v>
      </c>
      <c r="E116" s="444"/>
      <c r="F116" s="361">
        <f>SUM(F5:F114)</f>
        <v>5096</v>
      </c>
      <c r="G116" s="372">
        <f>SUM(G5:G115)</f>
        <v>1156304.649579444</v>
      </c>
      <c r="H116" s="437">
        <f>H22+H58+H67++H76+H88+H115</f>
        <v>1156304.6495794435</v>
      </c>
    </row>
    <row r="117" spans="1:8" ht="28.15" hidden="1" customHeight="1" x14ac:dyDescent="0.25">
      <c r="A117" s="421" t="s">
        <v>420</v>
      </c>
      <c r="B117" s="407"/>
      <c r="C117" s="407" t="s">
        <v>242</v>
      </c>
      <c r="D117" s="302">
        <v>0</v>
      </c>
      <c r="E117" s="407"/>
      <c r="F117" s="362"/>
      <c r="G117" s="371"/>
      <c r="H117" s="438">
        <v>0</v>
      </c>
    </row>
    <row r="118" spans="1:8" ht="28.15" customHeight="1" thickBot="1" x14ac:dyDescent="0.3"/>
    <row r="119" spans="1:8" ht="28.15" customHeight="1" x14ac:dyDescent="0.25">
      <c r="A119" s="517" t="s">
        <v>272</v>
      </c>
      <c r="B119" s="518"/>
      <c r="C119" s="519"/>
    </row>
    <row r="120" spans="1:8" ht="45" customHeight="1" x14ac:dyDescent="0.25">
      <c r="A120" s="422" t="s">
        <v>183</v>
      </c>
      <c r="B120" s="423" t="s">
        <v>174</v>
      </c>
      <c r="C120" s="424" t="s">
        <v>184</v>
      </c>
    </row>
    <row r="121" spans="1:8" x14ac:dyDescent="0.25">
      <c r="A121" s="422" t="s">
        <v>185</v>
      </c>
      <c r="B121" s="425" t="s">
        <v>273</v>
      </c>
      <c r="C121" s="424">
        <v>6</v>
      </c>
    </row>
    <row r="122" spans="1:8" x14ac:dyDescent="0.25">
      <c r="A122" s="422" t="s">
        <v>186</v>
      </c>
      <c r="B122" s="425" t="s">
        <v>176</v>
      </c>
      <c r="C122" s="424">
        <v>2</v>
      </c>
    </row>
    <row r="123" spans="1:8" x14ac:dyDescent="0.25">
      <c r="A123" s="422" t="s">
        <v>187</v>
      </c>
      <c r="B123" s="425" t="s">
        <v>177</v>
      </c>
      <c r="C123" s="424">
        <v>2</v>
      </c>
    </row>
    <row r="124" spans="1:8" x14ac:dyDescent="0.25">
      <c r="A124" s="422" t="s">
        <v>188</v>
      </c>
      <c r="B124" s="425" t="s">
        <v>178</v>
      </c>
      <c r="C124" s="424">
        <v>4</v>
      </c>
    </row>
    <row r="125" spans="1:8" x14ac:dyDescent="0.25">
      <c r="A125" s="422" t="s">
        <v>189</v>
      </c>
      <c r="B125" s="425" t="s">
        <v>179</v>
      </c>
      <c r="C125" s="424">
        <v>4</v>
      </c>
    </row>
    <row r="126" spans="1:8" x14ac:dyDescent="0.25">
      <c r="A126" s="422" t="s">
        <v>190</v>
      </c>
      <c r="B126" s="425" t="s">
        <v>180</v>
      </c>
      <c r="C126" s="424">
        <v>4</v>
      </c>
    </row>
    <row r="127" spans="1:8" x14ac:dyDescent="0.25">
      <c r="A127" s="422" t="s">
        <v>191</v>
      </c>
      <c r="B127" s="425" t="s">
        <v>176</v>
      </c>
      <c r="C127" s="424">
        <v>2</v>
      </c>
    </row>
    <row r="128" spans="1:8" x14ac:dyDescent="0.25">
      <c r="A128" s="422" t="s">
        <v>192</v>
      </c>
      <c r="B128" s="425" t="s">
        <v>181</v>
      </c>
      <c r="C128" s="424">
        <v>2</v>
      </c>
    </row>
    <row r="129" spans="1:3" x14ac:dyDescent="0.25">
      <c r="A129" s="422" t="s">
        <v>193</v>
      </c>
      <c r="B129" s="425" t="s">
        <v>182</v>
      </c>
      <c r="C129" s="424">
        <v>4</v>
      </c>
    </row>
    <row r="130" spans="1:3" x14ac:dyDescent="0.25">
      <c r="A130" s="422" t="s">
        <v>194</v>
      </c>
      <c r="B130" s="425" t="s">
        <v>176</v>
      </c>
      <c r="C130" s="424">
        <v>2</v>
      </c>
    </row>
    <row r="131" spans="1:3" x14ac:dyDescent="0.25">
      <c r="A131" s="422" t="s">
        <v>195</v>
      </c>
      <c r="B131" s="423" t="s">
        <v>196</v>
      </c>
      <c r="C131" s="424"/>
    </row>
    <row r="132" spans="1:3" x14ac:dyDescent="0.25">
      <c r="A132" s="422" t="s">
        <v>185</v>
      </c>
      <c r="B132" s="425" t="s">
        <v>197</v>
      </c>
      <c r="C132" s="424">
        <v>1</v>
      </c>
    </row>
    <row r="133" spans="1:3" x14ac:dyDescent="0.25">
      <c r="A133" s="422" t="s">
        <v>198</v>
      </c>
      <c r="B133" s="425" t="s">
        <v>437</v>
      </c>
      <c r="C133" s="424">
        <v>1</v>
      </c>
    </row>
    <row r="134" spans="1:3" x14ac:dyDescent="0.25">
      <c r="A134" s="422" t="s">
        <v>192</v>
      </c>
      <c r="B134" s="425" t="s">
        <v>199</v>
      </c>
      <c r="C134" s="424">
        <v>4</v>
      </c>
    </row>
    <row r="135" spans="1:3" x14ac:dyDescent="0.25">
      <c r="A135" s="422" t="s">
        <v>274</v>
      </c>
      <c r="B135" s="425" t="s">
        <v>200</v>
      </c>
      <c r="C135" s="424">
        <v>1</v>
      </c>
    </row>
    <row r="136" spans="1:3" ht="15.75" thickBot="1" x14ac:dyDescent="0.3">
      <c r="A136" s="426"/>
      <c r="B136" s="427" t="s">
        <v>275</v>
      </c>
      <c r="C136" s="428">
        <v>39</v>
      </c>
    </row>
    <row r="137" spans="1:3" ht="15.75" thickBot="1" x14ac:dyDescent="0.3">
      <c r="A137" s="429"/>
      <c r="B137" s="429"/>
      <c r="C137" s="276"/>
    </row>
    <row r="138" spans="1:3" x14ac:dyDescent="0.25">
      <c r="A138" s="517" t="s">
        <v>276</v>
      </c>
      <c r="B138" s="518"/>
      <c r="C138" s="519"/>
    </row>
    <row r="139" spans="1:3" x14ac:dyDescent="0.25">
      <c r="A139" s="422" t="s">
        <v>277</v>
      </c>
      <c r="B139" s="423" t="s">
        <v>174</v>
      </c>
      <c r="C139" s="424" t="s">
        <v>220</v>
      </c>
    </row>
    <row r="140" spans="1:3" x14ac:dyDescent="0.25">
      <c r="A140" s="422" t="s">
        <v>185</v>
      </c>
      <c r="B140" s="425" t="s">
        <v>273</v>
      </c>
      <c r="C140" s="424">
        <v>9</v>
      </c>
    </row>
    <row r="141" spans="1:3" x14ac:dyDescent="0.25">
      <c r="A141" s="422" t="s">
        <v>186</v>
      </c>
      <c r="B141" s="425" t="s">
        <v>176</v>
      </c>
      <c r="C141" s="424">
        <v>3</v>
      </c>
    </row>
    <row r="142" spans="1:3" x14ac:dyDescent="0.25">
      <c r="A142" s="422" t="s">
        <v>187</v>
      </c>
      <c r="B142" s="425" t="s">
        <v>177</v>
      </c>
      <c r="C142" s="424">
        <v>3</v>
      </c>
    </row>
    <row r="143" spans="1:3" x14ac:dyDescent="0.25">
      <c r="A143" s="422" t="s">
        <v>188</v>
      </c>
      <c r="B143" s="425" t="s">
        <v>178</v>
      </c>
      <c r="C143" s="424">
        <v>6</v>
      </c>
    </row>
    <row r="144" spans="1:3" x14ac:dyDescent="0.25">
      <c r="A144" s="422" t="s">
        <v>189</v>
      </c>
      <c r="B144" s="425" t="s">
        <v>179</v>
      </c>
      <c r="C144" s="424">
        <v>6</v>
      </c>
    </row>
    <row r="145" spans="1:3" x14ac:dyDescent="0.25">
      <c r="A145" s="422" t="s">
        <v>190</v>
      </c>
      <c r="B145" s="425" t="s">
        <v>180</v>
      </c>
      <c r="C145" s="424">
        <v>6</v>
      </c>
    </row>
    <row r="146" spans="1:3" x14ac:dyDescent="0.25">
      <c r="A146" s="422" t="s">
        <v>191</v>
      </c>
      <c r="B146" s="425" t="s">
        <v>176</v>
      </c>
      <c r="C146" s="424">
        <v>3</v>
      </c>
    </row>
    <row r="147" spans="1:3" x14ac:dyDescent="0.25">
      <c r="A147" s="422" t="s">
        <v>192</v>
      </c>
      <c r="B147" s="425" t="s">
        <v>181</v>
      </c>
      <c r="C147" s="424">
        <v>3</v>
      </c>
    </row>
    <row r="148" spans="1:3" x14ac:dyDescent="0.25">
      <c r="A148" s="422" t="s">
        <v>193</v>
      </c>
      <c r="B148" s="425" t="s">
        <v>182</v>
      </c>
      <c r="C148" s="424">
        <v>6</v>
      </c>
    </row>
    <row r="149" spans="1:3" x14ac:dyDescent="0.25">
      <c r="A149" s="422" t="s">
        <v>194</v>
      </c>
      <c r="B149" s="425" t="s">
        <v>176</v>
      </c>
      <c r="C149" s="424">
        <v>3</v>
      </c>
    </row>
    <row r="150" spans="1:3" x14ac:dyDescent="0.25">
      <c r="A150" s="422" t="s">
        <v>218</v>
      </c>
      <c r="B150" s="423" t="s">
        <v>196</v>
      </c>
      <c r="C150" s="424"/>
    </row>
    <row r="151" spans="1:3" x14ac:dyDescent="0.25">
      <c r="A151" s="422" t="s">
        <v>185</v>
      </c>
      <c r="B151" s="425" t="s">
        <v>197</v>
      </c>
      <c r="C151" s="424">
        <v>3</v>
      </c>
    </row>
    <row r="152" spans="1:3" x14ac:dyDescent="0.25">
      <c r="A152" s="422" t="s">
        <v>198</v>
      </c>
      <c r="B152" s="425" t="s">
        <v>437</v>
      </c>
      <c r="C152" s="424">
        <v>3</v>
      </c>
    </row>
    <row r="153" spans="1:3" x14ac:dyDescent="0.25">
      <c r="A153" s="422" t="s">
        <v>192</v>
      </c>
      <c r="B153" s="425" t="s">
        <v>199</v>
      </c>
      <c r="C153" s="424">
        <v>12</v>
      </c>
    </row>
    <row r="154" spans="1:3" x14ac:dyDescent="0.25">
      <c r="A154" s="422" t="s">
        <v>274</v>
      </c>
      <c r="B154" s="425" t="s">
        <v>200</v>
      </c>
      <c r="C154" s="424">
        <v>3</v>
      </c>
    </row>
    <row r="155" spans="1:3" ht="15.75" thickBot="1" x14ac:dyDescent="0.3">
      <c r="A155" s="426"/>
      <c r="B155" s="427" t="s">
        <v>278</v>
      </c>
      <c r="C155" s="428">
        <f>SUM(C140:C154)</f>
        <v>69</v>
      </c>
    </row>
  </sheetData>
  <customSheetViews>
    <customSheetView guid="{CAABEC37-EB41-41EA-8358-75DFFF1C418B}" scale="50" showPageBreaks="1" fitToPage="1" printArea="1" topLeftCell="A103">
      <selection sqref="A1:XFD1048576"/>
      <pageMargins left="0.7" right="0.7" top="0.75" bottom="0.75" header="0.3" footer="0.3"/>
      <pageSetup paperSize="611" scale="20" orientation="portrait" horizontalDpi="0" verticalDpi="0" r:id="rId1"/>
      <headerFooter scaleWithDoc="0">
        <oddHeader>&amp;L&amp;P of &amp;N&amp;C&amp;F &amp;A</oddHeader>
      </headerFooter>
    </customSheetView>
    <customSheetView guid="{15B474D1-E47A-4C0E-8895-89D98B12A497}" scale="70" fitToPage="1" printArea="1">
      <selection activeCell="D7" sqref="D7"/>
      <pageMargins left="0.7" right="0.7" top="0.75" bottom="0.75" header="0.3" footer="0.3"/>
      <pageSetup paperSize="611" scale="71" orientation="portrait" horizontalDpi="0" verticalDpi="0" r:id="rId2"/>
      <headerFooter scaleWithDoc="0">
        <oddHeader>&amp;L&amp;P of &amp;N&amp;C&amp;F &amp;A</oddHeader>
      </headerFooter>
    </customSheetView>
    <customSheetView guid="{5E423FF4-B179-40EA-B86D-E5D89FDA80FE}" scale="75" fitToPage="1" topLeftCell="A102">
      <selection activeCell="D120" sqref="D120"/>
      <pageMargins left="0.7" right="0.7" top="0.75" bottom="0.75" header="0.3" footer="0.3"/>
      <pageSetup paperSize="611" scale="20" orientation="portrait" horizontalDpi="0" verticalDpi="0" r:id="rId3"/>
      <headerFooter scaleWithDoc="0">
        <oddHeader>&amp;L&amp;P of &amp;N&amp;C&amp;F &amp;A</oddHeader>
      </headerFooter>
    </customSheetView>
  </customSheetViews>
  <mergeCells count="3">
    <mergeCell ref="A119:C119"/>
    <mergeCell ref="A138:C138"/>
    <mergeCell ref="F1:G1"/>
  </mergeCells>
  <pageMargins left="0.7" right="0.7" top="0.75" bottom="0.75" header="0.3" footer="0.3"/>
  <pageSetup paperSize="611" scale="17" orientation="portrait" horizontalDpi="0" verticalDpi="0" r:id="rId4"/>
  <headerFooter scaleWithDoc="0">
    <oddHeader>&amp;L&amp;P of &amp;N&amp;C&amp;F &amp;A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H131"/>
  <sheetViews>
    <sheetView topLeftCell="C80" zoomScale="60" zoomScaleNormal="60" workbookViewId="0">
      <selection activeCell="I93" activeCellId="1" sqref="K93 I93"/>
    </sheetView>
  </sheetViews>
  <sheetFormatPr defaultColWidth="8.85546875" defaultRowHeight="15" x14ac:dyDescent="0.25"/>
  <cols>
    <col min="1" max="1" width="93.28515625" style="194" customWidth="1"/>
    <col min="2" max="2" width="74.28515625" style="179" customWidth="1"/>
    <col min="3" max="3" width="12.42578125" style="183" customWidth="1"/>
    <col min="4" max="4" width="12.42578125" style="303" customWidth="1"/>
    <col min="5" max="6" width="20.7109375" style="183" customWidth="1"/>
    <col min="7" max="7" width="20.7109375" style="475" customWidth="1"/>
    <col min="8" max="8" width="20.7109375" style="313" customWidth="1"/>
    <col min="9" max="9" width="20.7109375" style="475" customWidth="1"/>
    <col min="10" max="10" width="20.7109375" style="320" customWidth="1"/>
    <col min="11" max="12" width="20.7109375" style="475" customWidth="1"/>
    <col min="13" max="13" width="3.7109375" style="183" customWidth="1"/>
    <col min="14" max="14" width="22.85546875" style="183" customWidth="1"/>
    <col min="15" max="15" width="10.140625" style="183" customWidth="1"/>
    <col min="16" max="16" width="9.5703125" style="183" customWidth="1"/>
    <col min="17" max="17" width="8.7109375" style="183" customWidth="1"/>
    <col min="18" max="18" width="8.140625" style="183" customWidth="1"/>
    <col min="19" max="19" width="7.7109375" style="183" customWidth="1"/>
    <col min="20" max="20" width="9.5703125" style="183" customWidth="1"/>
    <col min="21" max="21" width="10.140625" style="183" customWidth="1"/>
    <col min="22" max="22" width="9.5703125" style="183" customWidth="1"/>
    <col min="23" max="23" width="32.28515625" style="183" customWidth="1"/>
    <col min="24" max="24" width="4.85546875" style="183" customWidth="1"/>
    <col min="25" max="86" width="8.85546875" style="183"/>
    <col min="87" max="16384" width="8.85546875" style="179"/>
  </cols>
  <sheetData>
    <row r="1" spans="1:86" ht="30.6" customHeight="1" x14ac:dyDescent="0.25">
      <c r="F1" s="516" t="s">
        <v>479</v>
      </c>
      <c r="G1" s="516"/>
      <c r="H1" s="513" t="s">
        <v>457</v>
      </c>
      <c r="I1" s="513"/>
      <c r="J1" s="514" t="s">
        <v>456</v>
      </c>
      <c r="K1" s="514"/>
    </row>
    <row r="2" spans="1:86" ht="115.15" customHeight="1" x14ac:dyDescent="0.25">
      <c r="A2" s="1" t="s">
        <v>236</v>
      </c>
      <c r="B2" s="178" t="s">
        <v>21</v>
      </c>
      <c r="C2" s="11" t="s">
        <v>170</v>
      </c>
      <c r="D2" s="11" t="s">
        <v>173</v>
      </c>
      <c r="E2" s="11" t="s">
        <v>385</v>
      </c>
      <c r="F2" s="455" t="s">
        <v>458</v>
      </c>
      <c r="G2" s="457" t="s">
        <v>459</v>
      </c>
      <c r="H2" s="308" t="s">
        <v>458</v>
      </c>
      <c r="I2" s="461" t="s">
        <v>459</v>
      </c>
      <c r="J2" s="314" t="s">
        <v>458</v>
      </c>
      <c r="K2" s="463" t="s">
        <v>459</v>
      </c>
      <c r="L2" s="477" t="s">
        <v>233</v>
      </c>
      <c r="BN2" s="179"/>
      <c r="BO2" s="179"/>
      <c r="BP2" s="179"/>
      <c r="BQ2" s="179"/>
      <c r="BR2" s="179"/>
      <c r="BS2" s="179"/>
      <c r="BT2" s="179"/>
      <c r="BU2" s="179"/>
      <c r="BV2" s="179"/>
      <c r="BW2" s="179"/>
      <c r="BX2" s="179"/>
      <c r="BY2" s="179"/>
      <c r="BZ2" s="179"/>
      <c r="CA2" s="179"/>
      <c r="CB2" s="179"/>
      <c r="CC2" s="179"/>
      <c r="CD2" s="179"/>
      <c r="CE2" s="179"/>
      <c r="CF2" s="179"/>
      <c r="CG2" s="179"/>
      <c r="CH2" s="179"/>
    </row>
    <row r="3" spans="1:86" s="184" customFormat="1" x14ac:dyDescent="0.25">
      <c r="A3" s="180" t="s">
        <v>99</v>
      </c>
      <c r="B3" s="201"/>
      <c r="C3" s="201"/>
      <c r="D3" s="304"/>
      <c r="E3" s="201"/>
      <c r="F3" s="201"/>
      <c r="G3" s="471"/>
      <c r="H3" s="309"/>
      <c r="I3" s="471"/>
      <c r="J3" s="315"/>
      <c r="K3" s="471"/>
      <c r="L3" s="471"/>
      <c r="M3" s="183"/>
      <c r="N3" s="183"/>
      <c r="O3" s="183"/>
      <c r="P3" s="183"/>
      <c r="Q3" s="183"/>
      <c r="R3" s="183"/>
      <c r="S3" s="183"/>
      <c r="T3" s="183"/>
      <c r="U3" s="183"/>
      <c r="V3" s="183"/>
      <c r="W3" s="183"/>
      <c r="X3" s="183"/>
      <c r="Y3" s="183"/>
      <c r="Z3" s="183"/>
      <c r="AA3" s="183"/>
      <c r="AB3" s="183"/>
      <c r="AC3" s="183"/>
      <c r="AD3" s="183"/>
      <c r="AE3" s="183"/>
      <c r="AF3" s="183"/>
      <c r="AG3" s="183"/>
      <c r="AH3" s="183"/>
      <c r="AI3" s="183"/>
      <c r="AJ3" s="183"/>
      <c r="AK3" s="183"/>
      <c r="AL3" s="183"/>
      <c r="AM3" s="183"/>
      <c r="AN3" s="183"/>
      <c r="AO3" s="183"/>
      <c r="AP3" s="183"/>
      <c r="AQ3" s="183"/>
      <c r="AR3" s="183"/>
      <c r="AS3" s="183"/>
      <c r="AT3" s="183"/>
      <c r="AU3" s="183"/>
      <c r="AV3" s="183"/>
      <c r="AW3" s="183"/>
      <c r="AX3" s="183"/>
      <c r="AY3" s="183"/>
      <c r="AZ3" s="183"/>
      <c r="BA3" s="183"/>
      <c r="BB3" s="183"/>
      <c r="BC3" s="183"/>
      <c r="BD3" s="183"/>
      <c r="BE3" s="183"/>
      <c r="BF3" s="183"/>
      <c r="BG3" s="183"/>
      <c r="BH3" s="183"/>
      <c r="BI3" s="183"/>
      <c r="BJ3" s="183"/>
      <c r="BK3" s="183"/>
      <c r="BL3" s="183"/>
      <c r="BM3" s="183"/>
    </row>
    <row r="4" spans="1:86" s="183" customFormat="1" ht="30" customHeight="1" x14ac:dyDescent="0.25">
      <c r="A4" s="10" t="s">
        <v>100</v>
      </c>
      <c r="B4" s="204"/>
      <c r="C4" s="204"/>
      <c r="D4" s="306"/>
      <c r="E4" s="204"/>
      <c r="F4" s="204"/>
      <c r="G4" s="466"/>
      <c r="H4" s="311"/>
      <c r="I4" s="466"/>
      <c r="J4" s="319"/>
      <c r="K4" s="466"/>
      <c r="L4" s="466"/>
    </row>
    <row r="5" spans="1:86" s="183" customFormat="1" ht="30" customHeight="1" x14ac:dyDescent="0.25">
      <c r="A5" s="321" t="s">
        <v>101</v>
      </c>
      <c r="B5" s="204" t="s">
        <v>262</v>
      </c>
      <c r="C5" s="204" t="s">
        <v>171</v>
      </c>
      <c r="D5" s="306">
        <v>80</v>
      </c>
      <c r="E5" s="13">
        <f>+'FORA Loaded Hourly'!D12</f>
        <v>245.38150000000002</v>
      </c>
      <c r="F5" s="311">
        <f>+D5</f>
        <v>80</v>
      </c>
      <c r="G5" s="466">
        <f>+F5*E5</f>
        <v>19630.52</v>
      </c>
      <c r="H5" s="204"/>
      <c r="I5" s="466"/>
      <c r="J5" s="204"/>
      <c r="K5" s="466"/>
      <c r="L5" s="466">
        <f>D5*E5</f>
        <v>19630.52</v>
      </c>
    </row>
    <row r="6" spans="1:86" s="183" customFormat="1" ht="30" customHeight="1" x14ac:dyDescent="0.25">
      <c r="A6" s="321" t="s">
        <v>102</v>
      </c>
      <c r="B6" s="204" t="s">
        <v>262</v>
      </c>
      <c r="C6" s="204" t="s">
        <v>171</v>
      </c>
      <c r="D6" s="306">
        <v>80</v>
      </c>
      <c r="E6" s="13">
        <f>$E$5</f>
        <v>245.38150000000002</v>
      </c>
      <c r="F6" s="311">
        <v>80</v>
      </c>
      <c r="G6" s="466">
        <f>+F6*E6</f>
        <v>19630.52</v>
      </c>
      <c r="H6" s="204"/>
      <c r="I6" s="466"/>
      <c r="J6" s="204"/>
      <c r="K6" s="466"/>
      <c r="L6" s="466">
        <f t="shared" ref="L6:L9" si="0">D6*E6</f>
        <v>19630.52</v>
      </c>
    </row>
    <row r="7" spans="1:86" s="183" customFormat="1" ht="30" customHeight="1" x14ac:dyDescent="0.25">
      <c r="A7" s="321" t="s">
        <v>103</v>
      </c>
      <c r="B7" s="204" t="s">
        <v>262</v>
      </c>
      <c r="C7" s="204" t="s">
        <v>171</v>
      </c>
      <c r="D7" s="306">
        <v>80</v>
      </c>
      <c r="E7" s="13">
        <f t="shared" ref="E7:E9" si="1">$E$5</f>
        <v>245.38150000000002</v>
      </c>
      <c r="F7" s="311">
        <v>80</v>
      </c>
      <c r="G7" s="466">
        <f>+F7*E7</f>
        <v>19630.52</v>
      </c>
      <c r="H7" s="204"/>
      <c r="I7" s="466"/>
      <c r="J7" s="204"/>
      <c r="K7" s="466"/>
      <c r="L7" s="466">
        <f t="shared" si="0"/>
        <v>19630.52</v>
      </c>
    </row>
    <row r="8" spans="1:86" s="183" customFormat="1" ht="30" customHeight="1" x14ac:dyDescent="0.25">
      <c r="A8" s="321" t="s">
        <v>104</v>
      </c>
      <c r="B8" s="204" t="s">
        <v>262</v>
      </c>
      <c r="C8" s="204" t="s">
        <v>171</v>
      </c>
      <c r="D8" s="306">
        <v>80</v>
      </c>
      <c r="E8" s="13">
        <f t="shared" si="1"/>
        <v>245.38150000000002</v>
      </c>
      <c r="F8" s="311">
        <v>80</v>
      </c>
      <c r="G8" s="466">
        <f>+F8*E8</f>
        <v>19630.52</v>
      </c>
      <c r="H8" s="204"/>
      <c r="I8" s="466"/>
      <c r="J8" s="204"/>
      <c r="K8" s="466"/>
      <c r="L8" s="466">
        <f t="shared" si="0"/>
        <v>19630.52</v>
      </c>
    </row>
    <row r="9" spans="1:86" s="183" customFormat="1" ht="30" customHeight="1" x14ac:dyDescent="0.25">
      <c r="A9" s="321" t="s">
        <v>464</v>
      </c>
      <c r="B9" s="204" t="s">
        <v>262</v>
      </c>
      <c r="C9" s="204" t="s">
        <v>171</v>
      </c>
      <c r="D9" s="306">
        <v>80</v>
      </c>
      <c r="E9" s="13">
        <f t="shared" si="1"/>
        <v>245.38150000000002</v>
      </c>
      <c r="F9" s="311">
        <v>80</v>
      </c>
      <c r="G9" s="466">
        <f>+F9*E9</f>
        <v>19630.52</v>
      </c>
      <c r="H9" s="204"/>
      <c r="I9" s="466"/>
      <c r="J9" s="204"/>
      <c r="K9" s="466"/>
      <c r="L9" s="466">
        <f t="shared" si="0"/>
        <v>19630.52</v>
      </c>
    </row>
    <row r="10" spans="1:86" x14ac:dyDescent="0.25">
      <c r="A10" s="185" t="s">
        <v>215</v>
      </c>
      <c r="B10" s="192"/>
      <c r="C10" s="192"/>
      <c r="D10" s="307"/>
      <c r="E10" s="192"/>
      <c r="F10" s="192"/>
      <c r="G10" s="472"/>
      <c r="H10" s="312"/>
      <c r="I10" s="472"/>
      <c r="J10" s="318"/>
      <c r="K10" s="472"/>
      <c r="L10" s="472">
        <f>SUBTOTAL(9,L4:L9)</f>
        <v>98152.6</v>
      </c>
      <c r="BN10" s="179"/>
      <c r="BO10" s="179"/>
      <c r="BP10" s="179"/>
      <c r="BQ10" s="179"/>
      <c r="BR10" s="179"/>
      <c r="BS10" s="179"/>
      <c r="BT10" s="179"/>
      <c r="BU10" s="179"/>
      <c r="BV10" s="179"/>
      <c r="BW10" s="179"/>
      <c r="BX10" s="179"/>
      <c r="BY10" s="179"/>
      <c r="BZ10" s="179"/>
      <c r="CA10" s="179"/>
      <c r="CB10" s="179"/>
      <c r="CC10" s="179"/>
      <c r="CD10" s="179"/>
      <c r="CE10" s="179"/>
      <c r="CF10" s="179"/>
      <c r="CG10" s="179"/>
      <c r="CH10" s="179"/>
    </row>
    <row r="11" spans="1:86" x14ac:dyDescent="0.25">
      <c r="A11" s="180" t="s">
        <v>105</v>
      </c>
      <c r="B11" s="201"/>
      <c r="C11" s="201"/>
      <c r="D11" s="304"/>
      <c r="E11" s="201"/>
      <c r="F11" s="201"/>
      <c r="G11" s="471"/>
      <c r="H11" s="309"/>
      <c r="I11" s="471"/>
      <c r="J11" s="315"/>
      <c r="K11" s="471"/>
      <c r="L11" s="471"/>
      <c r="BS11" s="179"/>
      <c r="BT11" s="179"/>
      <c r="BU11" s="179"/>
      <c r="BV11" s="179"/>
      <c r="BW11" s="179"/>
      <c r="BX11" s="179"/>
      <c r="BY11" s="179"/>
      <c r="BZ11" s="179"/>
      <c r="CA11" s="179"/>
      <c r="CB11" s="179"/>
      <c r="CC11" s="179"/>
      <c r="CD11" s="179"/>
      <c r="CE11" s="179"/>
      <c r="CF11" s="179"/>
      <c r="CG11" s="179"/>
      <c r="CH11" s="179"/>
    </row>
    <row r="12" spans="1:86" s="183" customFormat="1" x14ac:dyDescent="0.25">
      <c r="A12" s="10" t="s">
        <v>106</v>
      </c>
      <c r="B12" s="204"/>
      <c r="C12" s="204"/>
      <c r="D12" s="306"/>
      <c r="E12" s="204"/>
      <c r="F12" s="204"/>
      <c r="G12" s="466"/>
      <c r="H12" s="311"/>
      <c r="I12" s="466"/>
      <c r="J12" s="319"/>
      <c r="K12" s="466"/>
      <c r="L12" s="466"/>
    </row>
    <row r="13" spans="1:86" s="183" customFormat="1" x14ac:dyDescent="0.25">
      <c r="A13" s="321" t="s">
        <v>107</v>
      </c>
      <c r="B13" s="204" t="s">
        <v>426</v>
      </c>
      <c r="C13" s="204" t="s">
        <v>171</v>
      </c>
      <c r="D13" s="306">
        <v>56</v>
      </c>
      <c r="E13" s="13">
        <f>+'FORA Loaded Hourly'!B6</f>
        <v>226.90478691468232</v>
      </c>
      <c r="F13" s="13"/>
      <c r="G13" s="466"/>
      <c r="H13" s="311">
        <v>56</v>
      </c>
      <c r="I13" s="466">
        <f t="shared" ref="I13:I17" si="2">+H13*E13</f>
        <v>12706.66806722221</v>
      </c>
      <c r="J13" s="317"/>
      <c r="K13" s="466">
        <f t="shared" ref="K13:K17" si="3">+J13*E13</f>
        <v>0</v>
      </c>
      <c r="L13" s="466">
        <f>D13*E13</f>
        <v>12706.66806722221</v>
      </c>
    </row>
    <row r="14" spans="1:86" s="183" customFormat="1" x14ac:dyDescent="0.25">
      <c r="A14" s="321" t="s">
        <v>108</v>
      </c>
      <c r="B14" s="204" t="s">
        <v>426</v>
      </c>
      <c r="C14" s="204" t="s">
        <v>171</v>
      </c>
      <c r="D14" s="306">
        <v>56</v>
      </c>
      <c r="E14" s="13">
        <f>$E$13</f>
        <v>226.90478691468232</v>
      </c>
      <c r="F14" s="13"/>
      <c r="G14" s="466"/>
      <c r="H14" s="311">
        <v>56</v>
      </c>
      <c r="I14" s="466">
        <f t="shared" si="2"/>
        <v>12706.66806722221</v>
      </c>
      <c r="J14" s="317"/>
      <c r="K14" s="466">
        <f t="shared" si="3"/>
        <v>0</v>
      </c>
      <c r="L14" s="466">
        <f t="shared" ref="L14:L17" si="4">D14*E14</f>
        <v>12706.66806722221</v>
      </c>
    </row>
    <row r="15" spans="1:86" s="183" customFormat="1" x14ac:dyDescent="0.25">
      <c r="A15" s="321" t="s">
        <v>109</v>
      </c>
      <c r="B15" s="204" t="s">
        <v>426</v>
      </c>
      <c r="C15" s="204" t="s">
        <v>171</v>
      </c>
      <c r="D15" s="306">
        <v>56</v>
      </c>
      <c r="E15" s="13">
        <f t="shared" ref="E15:E33" si="5">$E$13</f>
        <v>226.90478691468232</v>
      </c>
      <c r="F15" s="13"/>
      <c r="G15" s="466"/>
      <c r="H15" s="311">
        <v>56</v>
      </c>
      <c r="I15" s="466">
        <f t="shared" si="2"/>
        <v>12706.66806722221</v>
      </c>
      <c r="J15" s="317"/>
      <c r="K15" s="466">
        <f t="shared" si="3"/>
        <v>0</v>
      </c>
      <c r="L15" s="466">
        <f t="shared" si="4"/>
        <v>12706.66806722221</v>
      </c>
    </row>
    <row r="16" spans="1:86" s="183" customFormat="1" x14ac:dyDescent="0.25">
      <c r="A16" s="321" t="s">
        <v>465</v>
      </c>
      <c r="B16" s="204" t="s">
        <v>426</v>
      </c>
      <c r="C16" s="204" t="s">
        <v>171</v>
      </c>
      <c r="D16" s="306">
        <v>56</v>
      </c>
      <c r="E16" s="13">
        <f t="shared" si="5"/>
        <v>226.90478691468232</v>
      </c>
      <c r="F16" s="13"/>
      <c r="G16" s="466"/>
      <c r="H16" s="311">
        <v>56</v>
      </c>
      <c r="I16" s="466">
        <f t="shared" si="2"/>
        <v>12706.66806722221</v>
      </c>
      <c r="J16" s="317"/>
      <c r="K16" s="466">
        <f t="shared" si="3"/>
        <v>0</v>
      </c>
      <c r="L16" s="466">
        <f t="shared" si="4"/>
        <v>12706.66806722221</v>
      </c>
    </row>
    <row r="17" spans="1:12" s="183" customFormat="1" x14ac:dyDescent="0.25">
      <c r="A17" s="321" t="s">
        <v>110</v>
      </c>
      <c r="B17" s="204" t="s">
        <v>426</v>
      </c>
      <c r="C17" s="204" t="s">
        <v>171</v>
      </c>
      <c r="D17" s="306">
        <v>56</v>
      </c>
      <c r="E17" s="13">
        <f t="shared" si="5"/>
        <v>226.90478691468232</v>
      </c>
      <c r="F17" s="13"/>
      <c r="G17" s="466"/>
      <c r="H17" s="311">
        <v>56</v>
      </c>
      <c r="I17" s="466">
        <f t="shared" si="2"/>
        <v>12706.66806722221</v>
      </c>
      <c r="J17" s="317"/>
      <c r="K17" s="466">
        <f t="shared" si="3"/>
        <v>0</v>
      </c>
      <c r="L17" s="466">
        <f t="shared" si="4"/>
        <v>12706.66806722221</v>
      </c>
    </row>
    <row r="18" spans="1:12" s="183" customFormat="1" x14ac:dyDescent="0.25">
      <c r="A18" s="321" t="s">
        <v>111</v>
      </c>
      <c r="B18" s="204"/>
      <c r="C18" s="204"/>
      <c r="D18" s="306"/>
      <c r="E18" s="13">
        <f t="shared" si="5"/>
        <v>226.90478691468232</v>
      </c>
      <c r="F18" s="13"/>
      <c r="G18" s="466"/>
      <c r="H18" s="311"/>
      <c r="I18" s="466"/>
      <c r="J18" s="319"/>
      <c r="K18" s="466"/>
      <c r="L18" s="466"/>
    </row>
    <row r="19" spans="1:12" s="183" customFormat="1" x14ac:dyDescent="0.25">
      <c r="A19" s="321" t="s">
        <v>112</v>
      </c>
      <c r="B19" s="204" t="s">
        <v>412</v>
      </c>
      <c r="C19" s="204" t="s">
        <v>171</v>
      </c>
      <c r="D19" s="306">
        <v>320</v>
      </c>
      <c r="E19" s="13">
        <f t="shared" si="5"/>
        <v>226.90478691468232</v>
      </c>
      <c r="F19" s="13"/>
      <c r="G19" s="466"/>
      <c r="H19" s="311">
        <v>320</v>
      </c>
      <c r="I19" s="466">
        <f t="shared" ref="I19:I24" si="6">+H19*E19</f>
        <v>72609.531812698347</v>
      </c>
      <c r="J19" s="317"/>
      <c r="K19" s="466">
        <f t="shared" ref="K19:K24" si="7">+J19*E19</f>
        <v>0</v>
      </c>
      <c r="L19" s="466">
        <f t="shared" ref="L19:L33" si="8">D19*E19</f>
        <v>72609.531812698347</v>
      </c>
    </row>
    <row r="20" spans="1:12" s="183" customFormat="1" x14ac:dyDescent="0.25">
      <c r="A20" s="321" t="s">
        <v>113</v>
      </c>
      <c r="B20" s="204" t="s">
        <v>412</v>
      </c>
      <c r="C20" s="204" t="s">
        <v>171</v>
      </c>
      <c r="D20" s="306">
        <v>320</v>
      </c>
      <c r="E20" s="13">
        <f t="shared" si="5"/>
        <v>226.90478691468232</v>
      </c>
      <c r="F20" s="13"/>
      <c r="G20" s="466"/>
      <c r="H20" s="311">
        <v>320</v>
      </c>
      <c r="I20" s="466">
        <f t="shared" si="6"/>
        <v>72609.531812698347</v>
      </c>
      <c r="J20" s="317"/>
      <c r="K20" s="466">
        <f t="shared" si="7"/>
        <v>0</v>
      </c>
      <c r="L20" s="466">
        <f t="shared" si="8"/>
        <v>72609.531812698347</v>
      </c>
    </row>
    <row r="21" spans="1:12" s="183" customFormat="1" x14ac:dyDescent="0.25">
      <c r="A21" s="321" t="s">
        <v>114</v>
      </c>
      <c r="B21" s="204" t="s">
        <v>412</v>
      </c>
      <c r="C21" s="204" t="s">
        <v>171</v>
      </c>
      <c r="D21" s="306">
        <v>320</v>
      </c>
      <c r="E21" s="13">
        <f t="shared" si="5"/>
        <v>226.90478691468232</v>
      </c>
      <c r="F21" s="13"/>
      <c r="G21" s="466"/>
      <c r="H21" s="311">
        <v>320</v>
      </c>
      <c r="I21" s="466">
        <f t="shared" si="6"/>
        <v>72609.531812698347</v>
      </c>
      <c r="J21" s="317"/>
      <c r="K21" s="466">
        <f t="shared" si="7"/>
        <v>0</v>
      </c>
      <c r="L21" s="466">
        <f t="shared" si="8"/>
        <v>72609.531812698347</v>
      </c>
    </row>
    <row r="22" spans="1:12" s="183" customFormat="1" x14ac:dyDescent="0.25">
      <c r="A22" s="321" t="s">
        <v>115</v>
      </c>
      <c r="B22" s="204" t="s">
        <v>412</v>
      </c>
      <c r="C22" s="204" t="s">
        <v>171</v>
      </c>
      <c r="D22" s="306">
        <v>320</v>
      </c>
      <c r="E22" s="13">
        <f t="shared" si="5"/>
        <v>226.90478691468232</v>
      </c>
      <c r="F22" s="13"/>
      <c r="G22" s="466"/>
      <c r="H22" s="311">
        <v>320</v>
      </c>
      <c r="I22" s="466">
        <f t="shared" si="6"/>
        <v>72609.531812698347</v>
      </c>
      <c r="J22" s="317"/>
      <c r="K22" s="466">
        <f t="shared" si="7"/>
        <v>0</v>
      </c>
      <c r="L22" s="466">
        <f t="shared" si="8"/>
        <v>72609.531812698347</v>
      </c>
    </row>
    <row r="23" spans="1:12" s="183" customFormat="1" x14ac:dyDescent="0.25">
      <c r="A23" s="321" t="s">
        <v>109</v>
      </c>
      <c r="B23" s="204" t="s">
        <v>412</v>
      </c>
      <c r="C23" s="204" t="s">
        <v>171</v>
      </c>
      <c r="D23" s="306">
        <v>320</v>
      </c>
      <c r="E23" s="13">
        <f t="shared" si="5"/>
        <v>226.90478691468232</v>
      </c>
      <c r="F23" s="13"/>
      <c r="G23" s="466"/>
      <c r="H23" s="311">
        <v>320</v>
      </c>
      <c r="I23" s="466">
        <f t="shared" si="6"/>
        <v>72609.531812698347</v>
      </c>
      <c r="J23" s="317"/>
      <c r="K23" s="466">
        <f t="shared" si="7"/>
        <v>0</v>
      </c>
      <c r="L23" s="466">
        <f t="shared" si="8"/>
        <v>72609.531812698347</v>
      </c>
    </row>
    <row r="24" spans="1:12" s="183" customFormat="1" x14ac:dyDescent="0.25">
      <c r="A24" s="321" t="s">
        <v>116</v>
      </c>
      <c r="B24" s="204" t="s">
        <v>412</v>
      </c>
      <c r="C24" s="204" t="s">
        <v>171</v>
      </c>
      <c r="D24" s="306">
        <v>320</v>
      </c>
      <c r="E24" s="13">
        <f t="shared" si="5"/>
        <v>226.90478691468232</v>
      </c>
      <c r="F24" s="13"/>
      <c r="G24" s="466"/>
      <c r="H24" s="311">
        <v>320</v>
      </c>
      <c r="I24" s="466">
        <f t="shared" si="6"/>
        <v>72609.531812698347</v>
      </c>
      <c r="J24" s="317"/>
      <c r="K24" s="466">
        <f t="shared" si="7"/>
        <v>0</v>
      </c>
      <c r="L24" s="466">
        <f t="shared" si="8"/>
        <v>72609.531812698347</v>
      </c>
    </row>
    <row r="25" spans="1:12" s="183" customFormat="1" ht="30" x14ac:dyDescent="0.25">
      <c r="A25" s="10" t="s">
        <v>238</v>
      </c>
      <c r="B25" s="204"/>
      <c r="C25" s="204"/>
      <c r="D25" s="306"/>
      <c r="E25" s="13">
        <f t="shared" si="5"/>
        <v>226.90478691468232</v>
      </c>
      <c r="F25" s="13"/>
      <c r="G25" s="466"/>
      <c r="H25" s="311"/>
      <c r="I25" s="466"/>
      <c r="J25" s="319"/>
      <c r="K25" s="466"/>
      <c r="L25" s="466"/>
    </row>
    <row r="26" spans="1:12" s="183" customFormat="1" x14ac:dyDescent="0.25">
      <c r="A26" s="321" t="s">
        <v>117</v>
      </c>
      <c r="B26" s="204" t="s">
        <v>263</v>
      </c>
      <c r="C26" s="204" t="s">
        <v>171</v>
      </c>
      <c r="D26" s="306">
        <f>69*20</f>
        <v>1380</v>
      </c>
      <c r="E26" s="13">
        <f t="shared" si="5"/>
        <v>226.90478691468232</v>
      </c>
      <c r="F26" s="13"/>
      <c r="G26" s="466"/>
      <c r="H26" s="311">
        <v>1380</v>
      </c>
      <c r="I26" s="466">
        <f t="shared" ref="I26:I27" si="9">+H26*E26</f>
        <v>313128.60594226158</v>
      </c>
      <c r="J26" s="317"/>
      <c r="K26" s="466">
        <f t="shared" ref="K26:K27" si="10">+J26*E26</f>
        <v>0</v>
      </c>
      <c r="L26" s="466">
        <f t="shared" si="8"/>
        <v>313128.60594226158</v>
      </c>
    </row>
    <row r="27" spans="1:12" s="183" customFormat="1" x14ac:dyDescent="0.25">
      <c r="A27" s="321" t="s">
        <v>118</v>
      </c>
      <c r="B27" s="204" t="s">
        <v>433</v>
      </c>
      <c r="C27" s="204" t="s">
        <v>171</v>
      </c>
      <c r="D27" s="306">
        <v>96</v>
      </c>
      <c r="E27" s="13">
        <f t="shared" si="5"/>
        <v>226.90478691468232</v>
      </c>
      <c r="F27" s="13"/>
      <c r="G27" s="466"/>
      <c r="H27" s="311">
        <v>96</v>
      </c>
      <c r="I27" s="466">
        <f t="shared" si="9"/>
        <v>21782.859543809504</v>
      </c>
      <c r="J27" s="317"/>
      <c r="K27" s="466">
        <f t="shared" si="10"/>
        <v>0</v>
      </c>
      <c r="L27" s="466">
        <f t="shared" si="8"/>
        <v>21782.859543809504</v>
      </c>
    </row>
    <row r="28" spans="1:12" s="183" customFormat="1" x14ac:dyDescent="0.25">
      <c r="A28" s="321" t="s">
        <v>119</v>
      </c>
      <c r="B28" s="204"/>
      <c r="C28" s="204"/>
      <c r="D28" s="306"/>
      <c r="E28" s="13">
        <f t="shared" si="5"/>
        <v>226.90478691468232</v>
      </c>
      <c r="F28" s="13"/>
      <c r="G28" s="466"/>
      <c r="H28" s="311"/>
      <c r="I28" s="466"/>
      <c r="J28" s="319"/>
      <c r="K28" s="466"/>
      <c r="L28" s="466"/>
    </row>
    <row r="29" spans="1:12" s="183" customFormat="1" x14ac:dyDescent="0.25">
      <c r="A29" s="321" t="s">
        <v>120</v>
      </c>
      <c r="B29" s="204" t="s">
        <v>413</v>
      </c>
      <c r="C29" s="204" t="s">
        <v>171</v>
      </c>
      <c r="D29" s="306">
        <v>160</v>
      </c>
      <c r="E29" s="13">
        <f t="shared" si="5"/>
        <v>226.90478691468232</v>
      </c>
      <c r="F29" s="13"/>
      <c r="G29" s="466"/>
      <c r="H29" s="311">
        <v>160</v>
      </c>
      <c r="I29" s="466">
        <f t="shared" ref="I29:I33" si="11">+H29*E29</f>
        <v>36304.765906349174</v>
      </c>
      <c r="J29" s="317"/>
      <c r="K29" s="466">
        <f t="shared" ref="K29:K33" si="12">+J29*E29</f>
        <v>0</v>
      </c>
      <c r="L29" s="466">
        <f t="shared" si="8"/>
        <v>36304.765906349174</v>
      </c>
    </row>
    <row r="30" spans="1:12" s="183" customFormat="1" x14ac:dyDescent="0.25">
      <c r="A30" s="321" t="s">
        <v>121</v>
      </c>
      <c r="B30" s="204" t="s">
        <v>413</v>
      </c>
      <c r="C30" s="204" t="s">
        <v>171</v>
      </c>
      <c r="D30" s="306">
        <v>160</v>
      </c>
      <c r="E30" s="13">
        <f t="shared" si="5"/>
        <v>226.90478691468232</v>
      </c>
      <c r="F30" s="13"/>
      <c r="G30" s="466"/>
      <c r="H30" s="311">
        <v>160</v>
      </c>
      <c r="I30" s="466">
        <f t="shared" si="11"/>
        <v>36304.765906349174</v>
      </c>
      <c r="J30" s="317"/>
      <c r="K30" s="466">
        <f t="shared" si="12"/>
        <v>0</v>
      </c>
      <c r="L30" s="466">
        <f t="shared" si="8"/>
        <v>36304.765906349174</v>
      </c>
    </row>
    <row r="31" spans="1:12" s="183" customFormat="1" x14ac:dyDescent="0.25">
      <c r="A31" s="321" t="s">
        <v>122</v>
      </c>
      <c r="B31" s="204" t="s">
        <v>412</v>
      </c>
      <c r="C31" s="204" t="s">
        <v>171</v>
      </c>
      <c r="D31" s="306">
        <v>320</v>
      </c>
      <c r="E31" s="13">
        <f t="shared" si="5"/>
        <v>226.90478691468232</v>
      </c>
      <c r="F31" s="13"/>
      <c r="G31" s="466"/>
      <c r="H31" s="311">
        <v>320</v>
      </c>
      <c r="I31" s="466">
        <f t="shared" si="11"/>
        <v>72609.531812698347</v>
      </c>
      <c r="J31" s="317"/>
      <c r="K31" s="466">
        <f t="shared" si="12"/>
        <v>0</v>
      </c>
      <c r="L31" s="466">
        <f t="shared" si="8"/>
        <v>72609.531812698347</v>
      </c>
    </row>
    <row r="32" spans="1:12" s="183" customFormat="1" ht="45" x14ac:dyDescent="0.25">
      <c r="A32" s="321" t="s">
        <v>123</v>
      </c>
      <c r="B32" s="200" t="s">
        <v>427</v>
      </c>
      <c r="C32" s="204" t="s">
        <v>171</v>
      </c>
      <c r="D32" s="306">
        <v>112</v>
      </c>
      <c r="E32" s="13">
        <f t="shared" si="5"/>
        <v>226.90478691468232</v>
      </c>
      <c r="F32" s="13"/>
      <c r="G32" s="466"/>
      <c r="H32" s="311">
        <v>112</v>
      </c>
      <c r="I32" s="466">
        <f t="shared" si="11"/>
        <v>25413.33613444442</v>
      </c>
      <c r="J32" s="317"/>
      <c r="K32" s="466">
        <f t="shared" si="12"/>
        <v>0</v>
      </c>
      <c r="L32" s="466">
        <f t="shared" si="8"/>
        <v>25413.33613444442</v>
      </c>
    </row>
    <row r="33" spans="1:86" s="183" customFormat="1" ht="45" x14ac:dyDescent="0.25">
      <c r="A33" s="321" t="s">
        <v>124</v>
      </c>
      <c r="B33" s="204" t="s">
        <v>428</v>
      </c>
      <c r="C33" s="204" t="s">
        <v>171</v>
      </c>
      <c r="D33" s="306">
        <v>32</v>
      </c>
      <c r="E33" s="13">
        <f t="shared" si="5"/>
        <v>226.90478691468232</v>
      </c>
      <c r="F33" s="13"/>
      <c r="G33" s="466"/>
      <c r="H33" s="311">
        <v>32</v>
      </c>
      <c r="I33" s="466">
        <f t="shared" si="11"/>
        <v>7260.9531812698342</v>
      </c>
      <c r="J33" s="317"/>
      <c r="K33" s="466">
        <f t="shared" si="12"/>
        <v>0</v>
      </c>
      <c r="L33" s="466">
        <f t="shared" si="8"/>
        <v>7260.9531812698342</v>
      </c>
    </row>
    <row r="34" spans="1:86" s="206" customFormat="1" x14ac:dyDescent="0.25">
      <c r="A34" s="185" t="s">
        <v>203</v>
      </c>
      <c r="B34" s="192"/>
      <c r="C34" s="192"/>
      <c r="D34" s="307"/>
      <c r="E34" s="192"/>
      <c r="F34" s="192"/>
      <c r="G34" s="472"/>
      <c r="H34" s="312"/>
      <c r="I34" s="472"/>
      <c r="J34" s="318"/>
      <c r="K34" s="472"/>
      <c r="L34" s="472">
        <f>SUBTOTAL(9,L12:L33)</f>
        <v>1011995.3496394831</v>
      </c>
      <c r="M34" s="183"/>
      <c r="N34" s="183"/>
      <c r="O34" s="183"/>
      <c r="P34" s="183"/>
      <c r="Q34" s="183"/>
      <c r="R34" s="183"/>
      <c r="S34" s="183"/>
      <c r="T34" s="183"/>
      <c r="U34" s="183"/>
      <c r="V34" s="183"/>
      <c r="W34" s="183"/>
      <c r="X34" s="183"/>
      <c r="Y34" s="183"/>
      <c r="Z34" s="183"/>
      <c r="AA34" s="183"/>
      <c r="AB34" s="183"/>
      <c r="AC34" s="183"/>
      <c r="AD34" s="183"/>
      <c r="AE34" s="183"/>
      <c r="AF34" s="183"/>
      <c r="AG34" s="183"/>
      <c r="AH34" s="183"/>
      <c r="AI34" s="183"/>
      <c r="AJ34" s="183"/>
      <c r="AK34" s="183"/>
      <c r="AL34" s="183"/>
      <c r="AM34" s="183"/>
      <c r="AN34" s="183"/>
      <c r="AO34" s="183"/>
      <c r="AP34" s="183"/>
      <c r="AQ34" s="183"/>
      <c r="AR34" s="183"/>
      <c r="AS34" s="183"/>
      <c r="AT34" s="183"/>
      <c r="AU34" s="183"/>
      <c r="AV34" s="183"/>
      <c r="AW34" s="183"/>
      <c r="AX34" s="183"/>
      <c r="AY34" s="183"/>
      <c r="AZ34" s="183"/>
      <c r="BA34" s="183"/>
      <c r="BB34" s="183"/>
      <c r="BC34" s="183"/>
      <c r="BD34" s="183"/>
      <c r="BE34" s="183"/>
      <c r="BF34" s="183"/>
      <c r="BG34" s="183"/>
      <c r="BH34" s="183"/>
      <c r="BI34" s="183"/>
      <c r="BJ34" s="183"/>
      <c r="BK34" s="183"/>
      <c r="BL34" s="183"/>
      <c r="BM34" s="183"/>
      <c r="BN34" s="183"/>
      <c r="BO34" s="183"/>
      <c r="BP34" s="183"/>
      <c r="BQ34" s="183"/>
      <c r="BR34" s="183"/>
      <c r="BS34" s="183"/>
      <c r="BT34" s="183"/>
      <c r="BU34" s="183"/>
      <c r="BV34" s="183"/>
      <c r="BW34" s="183"/>
      <c r="BX34" s="183"/>
      <c r="BY34" s="183"/>
      <c r="BZ34" s="183"/>
      <c r="CA34" s="183"/>
      <c r="CB34" s="183"/>
      <c r="CC34" s="183"/>
      <c r="CD34" s="183"/>
      <c r="CE34" s="183"/>
      <c r="CF34" s="183"/>
      <c r="CG34" s="183"/>
      <c r="CH34" s="183"/>
    </row>
    <row r="35" spans="1:86" s="206" customFormat="1" x14ac:dyDescent="0.25">
      <c r="A35" s="180" t="s">
        <v>125</v>
      </c>
      <c r="B35" s="201"/>
      <c r="C35" s="201"/>
      <c r="D35" s="304"/>
      <c r="E35" s="201"/>
      <c r="F35" s="201"/>
      <c r="G35" s="471"/>
      <c r="H35" s="309"/>
      <c r="I35" s="471"/>
      <c r="J35" s="315"/>
      <c r="K35" s="471"/>
      <c r="L35" s="471"/>
      <c r="M35" s="183"/>
      <c r="N35" s="183"/>
      <c r="O35" s="183"/>
      <c r="P35" s="183"/>
      <c r="Q35" s="183"/>
      <c r="R35" s="183"/>
      <c r="S35" s="183"/>
      <c r="T35" s="183"/>
      <c r="U35" s="183"/>
      <c r="V35" s="183"/>
      <c r="W35" s="183"/>
      <c r="X35" s="183"/>
      <c r="Y35" s="183"/>
      <c r="Z35" s="183"/>
      <c r="AA35" s="183"/>
      <c r="AB35" s="183"/>
      <c r="AC35" s="183"/>
      <c r="AD35" s="183"/>
      <c r="AE35" s="183"/>
      <c r="AF35" s="183"/>
      <c r="AG35" s="183"/>
      <c r="AH35" s="183"/>
      <c r="AI35" s="183"/>
      <c r="AJ35" s="183"/>
      <c r="AK35" s="183"/>
      <c r="AL35" s="183"/>
      <c r="AM35" s="183"/>
      <c r="AN35" s="183"/>
      <c r="AO35" s="183"/>
      <c r="AP35" s="183"/>
      <c r="AQ35" s="183"/>
      <c r="AR35" s="183"/>
      <c r="AS35" s="183"/>
      <c r="AT35" s="183"/>
      <c r="AU35" s="183"/>
      <c r="AV35" s="183"/>
      <c r="AW35" s="183"/>
      <c r="AX35" s="183"/>
      <c r="AY35" s="183"/>
      <c r="AZ35" s="183"/>
      <c r="BA35" s="183"/>
      <c r="BB35" s="183"/>
      <c r="BC35" s="183"/>
      <c r="BD35" s="183"/>
      <c r="BE35" s="183"/>
      <c r="BF35" s="183"/>
      <c r="BG35" s="183"/>
      <c r="BH35" s="183"/>
      <c r="BI35" s="183"/>
      <c r="BJ35" s="183"/>
      <c r="BK35" s="183"/>
      <c r="BL35" s="183"/>
      <c r="BM35" s="183"/>
      <c r="BN35" s="183"/>
      <c r="BO35" s="183"/>
      <c r="BP35" s="183"/>
      <c r="BQ35" s="183"/>
      <c r="BR35" s="183"/>
      <c r="BS35" s="183"/>
      <c r="BT35" s="183"/>
      <c r="BU35" s="183"/>
      <c r="BV35" s="183"/>
      <c r="BW35" s="183"/>
      <c r="BX35" s="183"/>
      <c r="BY35" s="183"/>
      <c r="BZ35" s="183"/>
      <c r="CA35" s="183"/>
      <c r="CB35" s="183"/>
      <c r="CC35" s="183"/>
      <c r="CD35" s="183"/>
      <c r="CE35" s="183"/>
      <c r="CF35" s="183"/>
      <c r="CG35" s="183"/>
      <c r="CH35" s="183"/>
    </row>
    <row r="36" spans="1:86" s="183" customFormat="1" x14ac:dyDescent="0.25">
      <c r="A36" s="10" t="s">
        <v>126</v>
      </c>
      <c r="B36" s="204"/>
      <c r="C36" s="204"/>
      <c r="D36" s="306"/>
      <c r="E36" s="204"/>
      <c r="F36" s="204"/>
      <c r="G36" s="466"/>
      <c r="H36" s="311"/>
      <c r="I36" s="466"/>
      <c r="J36" s="319"/>
      <c r="K36" s="466"/>
      <c r="L36" s="466"/>
    </row>
    <row r="37" spans="1:86" s="183" customFormat="1" ht="27.6" customHeight="1" x14ac:dyDescent="0.25">
      <c r="A37" s="321" t="s">
        <v>127</v>
      </c>
      <c r="B37" s="200" t="s">
        <v>416</v>
      </c>
      <c r="C37" s="204" t="s">
        <v>171</v>
      </c>
      <c r="D37" s="306">
        <v>96</v>
      </c>
      <c r="E37" s="13">
        <f>$E$13</f>
        <v>226.90478691468232</v>
      </c>
      <c r="F37" s="13"/>
      <c r="G37" s="466"/>
      <c r="H37" s="311">
        <v>96</v>
      </c>
      <c r="I37" s="466">
        <f t="shared" ref="I37:I40" si="13">+H37*E37</f>
        <v>21782.859543809504</v>
      </c>
      <c r="J37" s="317"/>
      <c r="K37" s="466">
        <f t="shared" ref="K37:K42" si="14">+J37*E37</f>
        <v>0</v>
      </c>
      <c r="L37" s="466">
        <f t="shared" ref="L37:L49" si="15">D37*E37</f>
        <v>21782.859543809504</v>
      </c>
    </row>
    <row r="38" spans="1:86" s="183" customFormat="1" ht="27.6" customHeight="1" x14ac:dyDescent="0.25">
      <c r="A38" s="321" t="s">
        <v>128</v>
      </c>
      <c r="B38" s="200" t="s">
        <v>416</v>
      </c>
      <c r="C38" s="204" t="s">
        <v>171</v>
      </c>
      <c r="D38" s="306">
        <v>96</v>
      </c>
      <c r="E38" s="13">
        <f t="shared" ref="E38:E40" si="16">$E$13</f>
        <v>226.90478691468232</v>
      </c>
      <c r="F38" s="13"/>
      <c r="G38" s="466"/>
      <c r="H38" s="311">
        <v>96</v>
      </c>
      <c r="I38" s="466">
        <f t="shared" si="13"/>
        <v>21782.859543809504</v>
      </c>
      <c r="J38" s="317"/>
      <c r="K38" s="466">
        <f t="shared" si="14"/>
        <v>0</v>
      </c>
      <c r="L38" s="466">
        <f t="shared" si="15"/>
        <v>21782.859543809504</v>
      </c>
    </row>
    <row r="39" spans="1:86" s="183" customFormat="1" ht="27.6" customHeight="1" x14ac:dyDescent="0.25">
      <c r="A39" s="321" t="s">
        <v>129</v>
      </c>
      <c r="B39" s="200" t="s">
        <v>416</v>
      </c>
      <c r="C39" s="204" t="s">
        <v>171</v>
      </c>
      <c r="D39" s="306">
        <v>96</v>
      </c>
      <c r="E39" s="13">
        <f t="shared" si="16"/>
        <v>226.90478691468232</v>
      </c>
      <c r="F39" s="13"/>
      <c r="G39" s="466"/>
      <c r="H39" s="311">
        <v>96</v>
      </c>
      <c r="I39" s="466">
        <f t="shared" si="13"/>
        <v>21782.859543809504</v>
      </c>
      <c r="J39" s="317"/>
      <c r="K39" s="466">
        <f t="shared" si="14"/>
        <v>0</v>
      </c>
      <c r="L39" s="466">
        <f t="shared" si="15"/>
        <v>21782.859543809504</v>
      </c>
    </row>
    <row r="40" spans="1:86" s="183" customFormat="1" ht="27.6" customHeight="1" x14ac:dyDescent="0.25">
      <c r="A40" s="321" t="s">
        <v>130</v>
      </c>
      <c r="B40" s="200" t="s">
        <v>416</v>
      </c>
      <c r="C40" s="204" t="s">
        <v>171</v>
      </c>
      <c r="D40" s="306">
        <v>96</v>
      </c>
      <c r="E40" s="13">
        <f t="shared" si="16"/>
        <v>226.90478691468232</v>
      </c>
      <c r="F40" s="13"/>
      <c r="G40" s="466"/>
      <c r="H40" s="311">
        <v>96</v>
      </c>
      <c r="I40" s="466">
        <f t="shared" si="13"/>
        <v>21782.859543809504</v>
      </c>
      <c r="J40" s="317"/>
      <c r="K40" s="466">
        <f t="shared" si="14"/>
        <v>0</v>
      </c>
      <c r="L40" s="466">
        <f t="shared" si="15"/>
        <v>21782.859543809504</v>
      </c>
    </row>
    <row r="41" spans="1:86" s="183" customFormat="1" ht="27.6" customHeight="1" x14ac:dyDescent="0.25">
      <c r="A41" s="321" t="s">
        <v>430</v>
      </c>
      <c r="B41" s="200" t="s">
        <v>416</v>
      </c>
      <c r="C41" s="204" t="s">
        <v>171</v>
      </c>
      <c r="D41" s="306">
        <v>96</v>
      </c>
      <c r="E41" s="13">
        <f>+'FORA Loaded Hourly'!D12</f>
        <v>245.38150000000002</v>
      </c>
      <c r="F41" s="13"/>
      <c r="G41" s="466"/>
      <c r="H41" s="311"/>
      <c r="I41" s="466"/>
      <c r="J41" s="311">
        <v>96</v>
      </c>
      <c r="K41" s="466">
        <f t="shared" si="14"/>
        <v>23556.624000000003</v>
      </c>
      <c r="L41" s="466">
        <f t="shared" si="15"/>
        <v>23556.624000000003</v>
      </c>
    </row>
    <row r="42" spans="1:86" s="183" customFormat="1" ht="27.6" customHeight="1" x14ac:dyDescent="0.25">
      <c r="A42" s="321" t="s">
        <v>431</v>
      </c>
      <c r="B42" s="200" t="s">
        <v>416</v>
      </c>
      <c r="C42" s="204" t="s">
        <v>171</v>
      </c>
      <c r="D42" s="306">
        <v>96</v>
      </c>
      <c r="E42" s="13">
        <f>+'FORA Loaded Hourly'!D12</f>
        <v>245.38150000000002</v>
      </c>
      <c r="F42" s="13"/>
      <c r="G42" s="466"/>
      <c r="H42" s="311"/>
      <c r="I42" s="466"/>
      <c r="J42" s="311">
        <v>96</v>
      </c>
      <c r="K42" s="466">
        <f t="shared" si="14"/>
        <v>23556.624000000003</v>
      </c>
      <c r="L42" s="466">
        <f t="shared" si="15"/>
        <v>23556.624000000003</v>
      </c>
    </row>
    <row r="43" spans="1:86" s="183" customFormat="1" ht="34.5" customHeight="1" x14ac:dyDescent="0.25">
      <c r="A43" s="10" t="s">
        <v>131</v>
      </c>
      <c r="B43" s="204"/>
      <c r="C43" s="204"/>
      <c r="D43" s="306"/>
      <c r="E43" s="204"/>
      <c r="F43" s="204"/>
      <c r="G43" s="466"/>
      <c r="H43" s="311"/>
      <c r="I43" s="466"/>
      <c r="J43" s="319"/>
      <c r="K43" s="466"/>
      <c r="L43" s="466"/>
    </row>
    <row r="44" spans="1:86" s="183" customFormat="1" ht="27.6" customHeight="1" x14ac:dyDescent="0.25">
      <c r="A44" s="321" t="s">
        <v>132</v>
      </c>
      <c r="B44" s="200" t="s">
        <v>416</v>
      </c>
      <c r="C44" s="204" t="s">
        <v>171</v>
      </c>
      <c r="D44" s="306">
        <v>96</v>
      </c>
      <c r="E44" s="13">
        <f>$E$13</f>
        <v>226.90478691468232</v>
      </c>
      <c r="F44" s="13"/>
      <c r="G44" s="466"/>
      <c r="H44" s="306">
        <v>96</v>
      </c>
      <c r="I44" s="466">
        <f t="shared" ref="I44:I49" si="17">+H44*E44</f>
        <v>21782.859543809504</v>
      </c>
      <c r="J44" s="317"/>
      <c r="K44" s="466">
        <f t="shared" ref="K44:K49" si="18">+J44*E44</f>
        <v>0</v>
      </c>
      <c r="L44" s="466">
        <f t="shared" si="15"/>
        <v>21782.859543809504</v>
      </c>
    </row>
    <row r="45" spans="1:86" s="183" customFormat="1" ht="27.6" customHeight="1" x14ac:dyDescent="0.25">
      <c r="A45" s="321" t="s">
        <v>133</v>
      </c>
      <c r="B45" s="200" t="s">
        <v>416</v>
      </c>
      <c r="C45" s="204" t="s">
        <v>171</v>
      </c>
      <c r="D45" s="306">
        <v>96</v>
      </c>
      <c r="E45" s="13">
        <f t="shared" ref="E45:E49" si="19">$E$13</f>
        <v>226.90478691468232</v>
      </c>
      <c r="F45" s="13"/>
      <c r="G45" s="466"/>
      <c r="H45" s="306">
        <v>96</v>
      </c>
      <c r="I45" s="466">
        <f t="shared" si="17"/>
        <v>21782.859543809504</v>
      </c>
      <c r="J45" s="317"/>
      <c r="K45" s="466">
        <f t="shared" si="18"/>
        <v>0</v>
      </c>
      <c r="L45" s="466">
        <f t="shared" si="15"/>
        <v>21782.859543809504</v>
      </c>
    </row>
    <row r="46" spans="1:86" s="183" customFormat="1" ht="27.6" customHeight="1" x14ac:dyDescent="0.25">
      <c r="A46" s="321" t="s">
        <v>134</v>
      </c>
      <c r="B46" s="200" t="s">
        <v>416</v>
      </c>
      <c r="C46" s="204" t="s">
        <v>171</v>
      </c>
      <c r="D46" s="306">
        <v>96</v>
      </c>
      <c r="E46" s="13">
        <f t="shared" si="19"/>
        <v>226.90478691468232</v>
      </c>
      <c r="F46" s="13"/>
      <c r="G46" s="466"/>
      <c r="H46" s="306">
        <v>96</v>
      </c>
      <c r="I46" s="466">
        <f t="shared" si="17"/>
        <v>21782.859543809504</v>
      </c>
      <c r="J46" s="317"/>
      <c r="K46" s="466">
        <f t="shared" si="18"/>
        <v>0</v>
      </c>
      <c r="L46" s="466">
        <f t="shared" si="15"/>
        <v>21782.859543809504</v>
      </c>
    </row>
    <row r="47" spans="1:86" s="183" customFormat="1" ht="27.6" customHeight="1" x14ac:dyDescent="0.25">
      <c r="A47" s="321" t="s">
        <v>135</v>
      </c>
      <c r="B47" s="200" t="s">
        <v>416</v>
      </c>
      <c r="C47" s="204" t="s">
        <v>171</v>
      </c>
      <c r="D47" s="306">
        <v>96</v>
      </c>
      <c r="E47" s="13">
        <f t="shared" si="19"/>
        <v>226.90478691468232</v>
      </c>
      <c r="F47" s="13"/>
      <c r="G47" s="466"/>
      <c r="H47" s="306">
        <v>96</v>
      </c>
      <c r="I47" s="466">
        <f t="shared" si="17"/>
        <v>21782.859543809504</v>
      </c>
      <c r="J47" s="317"/>
      <c r="K47" s="466">
        <f t="shared" si="18"/>
        <v>0</v>
      </c>
      <c r="L47" s="466">
        <f t="shared" si="15"/>
        <v>21782.859543809504</v>
      </c>
    </row>
    <row r="48" spans="1:86" s="183" customFormat="1" ht="27.6" customHeight="1" x14ac:dyDescent="0.25">
      <c r="A48" s="321" t="s">
        <v>136</v>
      </c>
      <c r="B48" s="200" t="s">
        <v>416</v>
      </c>
      <c r="C48" s="204" t="s">
        <v>171</v>
      </c>
      <c r="D48" s="306">
        <v>96</v>
      </c>
      <c r="E48" s="13">
        <f t="shared" si="19"/>
        <v>226.90478691468232</v>
      </c>
      <c r="F48" s="13"/>
      <c r="G48" s="466"/>
      <c r="H48" s="306">
        <v>96</v>
      </c>
      <c r="I48" s="466">
        <f t="shared" si="17"/>
        <v>21782.859543809504</v>
      </c>
      <c r="J48" s="317"/>
      <c r="K48" s="466">
        <f t="shared" si="18"/>
        <v>0</v>
      </c>
      <c r="L48" s="466">
        <f t="shared" si="15"/>
        <v>21782.859543809504</v>
      </c>
    </row>
    <row r="49" spans="1:86" s="183" customFormat="1" ht="27.6" customHeight="1" x14ac:dyDescent="0.25">
      <c r="A49" s="321" t="s">
        <v>137</v>
      </c>
      <c r="B49" s="200" t="s">
        <v>416</v>
      </c>
      <c r="C49" s="204" t="s">
        <v>171</v>
      </c>
      <c r="D49" s="306">
        <v>96</v>
      </c>
      <c r="E49" s="13">
        <f t="shared" si="19"/>
        <v>226.90478691468232</v>
      </c>
      <c r="F49" s="13"/>
      <c r="G49" s="466"/>
      <c r="H49" s="306">
        <v>96</v>
      </c>
      <c r="I49" s="466">
        <f t="shared" si="17"/>
        <v>21782.859543809504</v>
      </c>
      <c r="J49" s="317"/>
      <c r="K49" s="466">
        <f t="shared" si="18"/>
        <v>0</v>
      </c>
      <c r="L49" s="466">
        <f t="shared" si="15"/>
        <v>21782.859543809504</v>
      </c>
    </row>
    <row r="50" spans="1:86" ht="27.6" customHeight="1" x14ac:dyDescent="0.25">
      <c r="A50" s="185" t="s">
        <v>216</v>
      </c>
      <c r="B50" s="192"/>
      <c r="C50" s="192"/>
      <c r="D50" s="307"/>
      <c r="E50" s="192"/>
      <c r="F50" s="192"/>
      <c r="G50" s="472"/>
      <c r="H50" s="312"/>
      <c r="I50" s="472"/>
      <c r="J50" s="318"/>
      <c r="K50" s="472"/>
      <c r="L50" s="472">
        <f>SUBTOTAL(9,L36:L49)</f>
        <v>264941.84343809501</v>
      </c>
    </row>
    <row r="51" spans="1:86" x14ac:dyDescent="0.25">
      <c r="A51" s="180" t="s">
        <v>138</v>
      </c>
      <c r="B51" s="201"/>
      <c r="C51" s="201"/>
      <c r="D51" s="304"/>
      <c r="E51" s="201"/>
      <c r="F51" s="201"/>
      <c r="G51" s="471"/>
      <c r="H51" s="309"/>
      <c r="I51" s="471"/>
      <c r="J51" s="315"/>
      <c r="K51" s="471"/>
      <c r="L51" s="471"/>
    </row>
    <row r="52" spans="1:86" s="183" customFormat="1" ht="45" x14ac:dyDescent="0.25">
      <c r="A52" s="10" t="s">
        <v>139</v>
      </c>
      <c r="B52" s="204" t="s">
        <v>237</v>
      </c>
      <c r="C52" s="204" t="s">
        <v>221</v>
      </c>
      <c r="D52" s="306"/>
      <c r="E52" s="13"/>
      <c r="F52" s="13"/>
      <c r="G52" s="466"/>
      <c r="H52" s="311"/>
      <c r="I52" s="466">
        <f>+H52*E52</f>
        <v>0</v>
      </c>
      <c r="J52" s="317"/>
      <c r="K52" s="466">
        <f t="shared" ref="K52:K61" si="20">+J52*E52</f>
        <v>0</v>
      </c>
      <c r="L52" s="466"/>
    </row>
    <row r="53" spans="1:86" s="183" customFormat="1" x14ac:dyDescent="0.25">
      <c r="A53" s="200" t="s">
        <v>140</v>
      </c>
      <c r="B53" s="204"/>
      <c r="C53" s="204"/>
      <c r="D53" s="306"/>
      <c r="E53" s="204"/>
      <c r="F53" s="204"/>
      <c r="G53" s="466"/>
      <c r="H53" s="311"/>
      <c r="I53" s="466"/>
      <c r="J53" s="319"/>
      <c r="K53" s="466">
        <f t="shared" si="20"/>
        <v>0</v>
      </c>
      <c r="L53" s="466"/>
    </row>
    <row r="54" spans="1:86" s="183" customFormat="1" ht="30" customHeight="1" x14ac:dyDescent="0.25">
      <c r="A54" s="200" t="s">
        <v>141</v>
      </c>
      <c r="B54" s="204" t="s">
        <v>237</v>
      </c>
      <c r="C54" s="204" t="s">
        <v>221</v>
      </c>
      <c r="D54" s="306"/>
      <c r="E54" s="13"/>
      <c r="F54" s="13"/>
      <c r="G54" s="466"/>
      <c r="H54" s="311"/>
      <c r="I54" s="466">
        <f t="shared" ref="I54:I57" si="21">+H54*E54</f>
        <v>0</v>
      </c>
      <c r="J54" s="317"/>
      <c r="K54" s="466">
        <f t="shared" si="20"/>
        <v>0</v>
      </c>
      <c r="L54" s="466"/>
    </row>
    <row r="55" spans="1:86" s="183" customFormat="1" ht="30" customHeight="1" x14ac:dyDescent="0.25">
      <c r="A55" s="321" t="s">
        <v>142</v>
      </c>
      <c r="B55" s="204" t="s">
        <v>237</v>
      </c>
      <c r="C55" s="204" t="s">
        <v>221</v>
      </c>
      <c r="D55" s="306"/>
      <c r="E55" s="13"/>
      <c r="F55" s="13"/>
      <c r="G55" s="466"/>
      <c r="H55" s="311"/>
      <c r="I55" s="466">
        <f t="shared" si="21"/>
        <v>0</v>
      </c>
      <c r="J55" s="317"/>
      <c r="K55" s="466">
        <f t="shared" si="20"/>
        <v>0</v>
      </c>
      <c r="L55" s="466"/>
    </row>
    <row r="56" spans="1:86" s="183" customFormat="1" ht="30" customHeight="1" x14ac:dyDescent="0.25">
      <c r="A56" s="321" t="s">
        <v>143</v>
      </c>
      <c r="B56" s="204" t="s">
        <v>237</v>
      </c>
      <c r="C56" s="204" t="s">
        <v>221</v>
      </c>
      <c r="D56" s="306"/>
      <c r="E56" s="13"/>
      <c r="F56" s="13"/>
      <c r="G56" s="466"/>
      <c r="H56" s="311"/>
      <c r="I56" s="466">
        <f t="shared" si="21"/>
        <v>0</v>
      </c>
      <c r="J56" s="317"/>
      <c r="K56" s="466">
        <f t="shared" si="20"/>
        <v>0</v>
      </c>
      <c r="L56" s="466"/>
    </row>
    <row r="57" spans="1:86" s="183" customFormat="1" ht="30" customHeight="1" x14ac:dyDescent="0.25">
      <c r="A57" s="321" t="s">
        <v>144</v>
      </c>
      <c r="B57" s="204" t="s">
        <v>237</v>
      </c>
      <c r="C57" s="204" t="s">
        <v>221</v>
      </c>
      <c r="D57" s="306"/>
      <c r="E57" s="13"/>
      <c r="F57" s="13"/>
      <c r="G57" s="466"/>
      <c r="H57" s="311"/>
      <c r="I57" s="466">
        <f t="shared" si="21"/>
        <v>0</v>
      </c>
      <c r="J57" s="317"/>
      <c r="K57" s="466">
        <f t="shared" si="20"/>
        <v>0</v>
      </c>
      <c r="L57" s="466"/>
    </row>
    <row r="58" spans="1:86" s="183" customFormat="1" ht="30" customHeight="1" x14ac:dyDescent="0.25">
      <c r="A58" s="10" t="s">
        <v>145</v>
      </c>
      <c r="B58" s="204"/>
      <c r="C58" s="204"/>
      <c r="D58" s="306"/>
      <c r="E58" s="204"/>
      <c r="F58" s="204"/>
      <c r="G58" s="466"/>
      <c r="H58" s="311"/>
      <c r="I58" s="466"/>
      <c r="J58" s="319"/>
      <c r="K58" s="466">
        <f t="shared" si="20"/>
        <v>0</v>
      </c>
      <c r="L58" s="466"/>
    </row>
    <row r="59" spans="1:86" s="183" customFormat="1" ht="30" customHeight="1" x14ac:dyDescent="0.25">
      <c r="A59" s="321" t="s">
        <v>146</v>
      </c>
      <c r="B59" s="204" t="s">
        <v>264</v>
      </c>
      <c r="C59" s="204" t="s">
        <v>171</v>
      </c>
      <c r="D59" s="306">
        <f>69*4</f>
        <v>276</v>
      </c>
      <c r="E59" s="13">
        <f>$E$13</f>
        <v>226.90478691468232</v>
      </c>
      <c r="F59" s="13"/>
      <c r="G59" s="466"/>
      <c r="H59" s="311">
        <v>276</v>
      </c>
      <c r="I59" s="466">
        <f t="shared" ref="I59:I61" si="22">+H59*E59</f>
        <v>62625.72118845232</v>
      </c>
      <c r="J59" s="317"/>
      <c r="K59" s="466">
        <f t="shared" si="20"/>
        <v>0</v>
      </c>
      <c r="L59" s="466">
        <f t="shared" ref="L59:L61" si="23">D59*E59</f>
        <v>62625.72118845232</v>
      </c>
    </row>
    <row r="60" spans="1:86" s="183" customFormat="1" ht="30" customHeight="1" x14ac:dyDescent="0.25">
      <c r="A60" s="321" t="s">
        <v>147</v>
      </c>
      <c r="B60" s="204" t="s">
        <v>264</v>
      </c>
      <c r="C60" s="204" t="s">
        <v>171</v>
      </c>
      <c r="D60" s="306">
        <f>69*4</f>
        <v>276</v>
      </c>
      <c r="E60" s="13">
        <f t="shared" ref="E60:E61" si="24">$E$13</f>
        <v>226.90478691468232</v>
      </c>
      <c r="F60" s="13"/>
      <c r="G60" s="466"/>
      <c r="H60" s="311">
        <v>276</v>
      </c>
      <c r="I60" s="466">
        <f t="shared" si="22"/>
        <v>62625.72118845232</v>
      </c>
      <c r="J60" s="317"/>
      <c r="K60" s="466">
        <f t="shared" si="20"/>
        <v>0</v>
      </c>
      <c r="L60" s="466">
        <f t="shared" si="23"/>
        <v>62625.72118845232</v>
      </c>
    </row>
    <row r="61" spans="1:86" s="183" customFormat="1" ht="30" customHeight="1" x14ac:dyDescent="0.25">
      <c r="A61" s="321" t="s">
        <v>144</v>
      </c>
      <c r="B61" s="204" t="s">
        <v>414</v>
      </c>
      <c r="C61" s="204" t="s">
        <v>171</v>
      </c>
      <c r="D61" s="306">
        <v>32</v>
      </c>
      <c r="E61" s="13">
        <f t="shared" si="24"/>
        <v>226.90478691468232</v>
      </c>
      <c r="F61" s="13"/>
      <c r="G61" s="466"/>
      <c r="H61" s="311">
        <v>32</v>
      </c>
      <c r="I61" s="466">
        <f t="shared" si="22"/>
        <v>7260.9531812698342</v>
      </c>
      <c r="J61" s="317"/>
      <c r="K61" s="466">
        <f t="shared" si="20"/>
        <v>0</v>
      </c>
      <c r="L61" s="466">
        <f t="shared" si="23"/>
        <v>7260.9531812698342</v>
      </c>
    </row>
    <row r="62" spans="1:86" ht="30" customHeight="1" x14ac:dyDescent="0.25">
      <c r="A62" s="185" t="s">
        <v>209</v>
      </c>
      <c r="B62" s="192"/>
      <c r="C62" s="192"/>
      <c r="D62" s="307"/>
      <c r="E62" s="192"/>
      <c r="F62" s="192"/>
      <c r="G62" s="472"/>
      <c r="H62" s="312"/>
      <c r="I62" s="472"/>
      <c r="J62" s="318"/>
      <c r="K62" s="472"/>
      <c r="L62" s="472">
        <f>SUBTOTAL(9,L52:L61)</f>
        <v>132512.39555817447</v>
      </c>
    </row>
    <row r="63" spans="1:86" x14ac:dyDescent="0.25">
      <c r="A63" s="180" t="s">
        <v>148</v>
      </c>
      <c r="B63" s="201"/>
      <c r="C63" s="201"/>
      <c r="D63" s="304"/>
      <c r="E63" s="201"/>
      <c r="F63" s="201"/>
      <c r="G63" s="471"/>
      <c r="H63" s="309"/>
      <c r="I63" s="471"/>
      <c r="J63" s="315"/>
      <c r="K63" s="471"/>
      <c r="L63" s="471"/>
    </row>
    <row r="64" spans="1:86" s="184" customFormat="1" x14ac:dyDescent="0.25">
      <c r="A64" s="202" t="s">
        <v>149</v>
      </c>
      <c r="B64" s="203"/>
      <c r="C64" s="203"/>
      <c r="D64" s="305"/>
      <c r="E64" s="203"/>
      <c r="F64" s="203"/>
      <c r="G64" s="473"/>
      <c r="H64" s="310"/>
      <c r="I64" s="473"/>
      <c r="J64" s="316"/>
      <c r="K64" s="466">
        <f t="shared" ref="K64:K68" si="25">+J64*E64</f>
        <v>0</v>
      </c>
      <c r="L64" s="473"/>
      <c r="M64" s="183"/>
      <c r="N64" s="183"/>
      <c r="O64" s="183"/>
      <c r="P64" s="183"/>
      <c r="Q64" s="183"/>
      <c r="R64" s="183"/>
      <c r="S64" s="183"/>
      <c r="T64" s="183"/>
      <c r="U64" s="183"/>
      <c r="V64" s="183"/>
      <c r="W64" s="183"/>
      <c r="X64" s="183"/>
      <c r="Y64" s="183"/>
      <c r="Z64" s="183"/>
      <c r="AA64" s="183"/>
      <c r="AB64" s="183"/>
      <c r="AC64" s="183"/>
      <c r="AD64" s="183"/>
      <c r="AE64" s="183"/>
      <c r="AF64" s="183"/>
      <c r="AG64" s="183"/>
      <c r="AH64" s="183"/>
      <c r="AI64" s="183"/>
      <c r="AJ64" s="183"/>
      <c r="AK64" s="183"/>
      <c r="AL64" s="183"/>
      <c r="AM64" s="183"/>
      <c r="AN64" s="183"/>
      <c r="AO64" s="183"/>
      <c r="AP64" s="183"/>
      <c r="AQ64" s="183"/>
      <c r="AR64" s="183"/>
      <c r="AS64" s="183"/>
      <c r="AT64" s="183"/>
      <c r="AU64" s="183"/>
      <c r="AV64" s="183"/>
      <c r="AW64" s="183"/>
      <c r="AX64" s="183"/>
      <c r="AY64" s="183"/>
      <c r="AZ64" s="183"/>
      <c r="BA64" s="183"/>
      <c r="BB64" s="183"/>
      <c r="BC64" s="183"/>
      <c r="BD64" s="183"/>
      <c r="BE64" s="183"/>
      <c r="BF64" s="183"/>
      <c r="BG64" s="183"/>
      <c r="BH64" s="183"/>
      <c r="BI64" s="183"/>
      <c r="BJ64" s="183"/>
      <c r="BK64" s="183"/>
      <c r="BL64" s="183"/>
      <c r="BM64" s="183"/>
      <c r="BN64" s="183"/>
      <c r="BO64" s="183"/>
      <c r="BP64" s="183"/>
      <c r="BQ64" s="183"/>
      <c r="BR64" s="183"/>
      <c r="BS64" s="183"/>
      <c r="BT64" s="183"/>
      <c r="BU64" s="183"/>
      <c r="BV64" s="183"/>
      <c r="BW64" s="183"/>
      <c r="BX64" s="183"/>
      <c r="BY64" s="183"/>
      <c r="BZ64" s="183"/>
      <c r="CA64" s="183"/>
      <c r="CB64" s="183"/>
      <c r="CC64" s="183"/>
      <c r="CD64" s="183"/>
      <c r="CE64" s="183"/>
      <c r="CF64" s="183"/>
      <c r="CG64" s="183"/>
      <c r="CH64" s="183"/>
    </row>
    <row r="65" spans="1:86" s="206" customFormat="1" ht="27.6" customHeight="1" x14ac:dyDescent="0.25">
      <c r="A65" s="178" t="s">
        <v>153</v>
      </c>
      <c r="B65" s="178" t="s">
        <v>416</v>
      </c>
      <c r="C65" s="204" t="s">
        <v>171</v>
      </c>
      <c r="D65" s="306">
        <v>96</v>
      </c>
      <c r="E65" s="13">
        <f>$E$13</f>
        <v>226.90478691468232</v>
      </c>
      <c r="F65" s="13"/>
      <c r="G65" s="466"/>
      <c r="H65" s="311">
        <v>96</v>
      </c>
      <c r="I65" s="466">
        <f t="shared" ref="I65:I68" si="26">+H65*E65</f>
        <v>21782.859543809504</v>
      </c>
      <c r="J65" s="317"/>
      <c r="K65" s="466">
        <f t="shared" si="25"/>
        <v>0</v>
      </c>
      <c r="L65" s="466">
        <f t="shared" ref="L65:L68" si="27">D65*E65</f>
        <v>21782.859543809504</v>
      </c>
      <c r="M65" s="183"/>
      <c r="N65" s="183"/>
      <c r="O65" s="183"/>
      <c r="P65" s="183"/>
      <c r="Q65" s="183"/>
      <c r="R65" s="183"/>
      <c r="S65" s="183"/>
      <c r="T65" s="183"/>
      <c r="U65" s="183"/>
      <c r="V65" s="183"/>
      <c r="W65" s="183"/>
      <c r="X65" s="183"/>
      <c r="Y65" s="183"/>
      <c r="Z65" s="183"/>
      <c r="AA65" s="183"/>
      <c r="AB65" s="183"/>
      <c r="AC65" s="183"/>
      <c r="AD65" s="183"/>
      <c r="AE65" s="183"/>
      <c r="AF65" s="183"/>
      <c r="AG65" s="183"/>
      <c r="AH65" s="183"/>
      <c r="AI65" s="183"/>
      <c r="AJ65" s="183"/>
      <c r="AK65" s="183"/>
      <c r="AL65" s="183"/>
      <c r="AM65" s="183"/>
      <c r="AN65" s="183"/>
      <c r="AO65" s="183"/>
      <c r="AP65" s="183"/>
      <c r="AQ65" s="183"/>
      <c r="AR65" s="183"/>
      <c r="AS65" s="183"/>
      <c r="AT65" s="183"/>
      <c r="AU65" s="183"/>
      <c r="AV65" s="183"/>
      <c r="AW65" s="183"/>
      <c r="AX65" s="183"/>
      <c r="AY65" s="183"/>
      <c r="AZ65" s="183"/>
      <c r="BA65" s="183"/>
      <c r="BB65" s="183"/>
      <c r="BC65" s="183"/>
      <c r="BD65" s="183"/>
      <c r="BE65" s="183"/>
      <c r="BF65" s="183"/>
      <c r="BG65" s="183"/>
      <c r="BH65" s="183"/>
      <c r="BI65" s="183"/>
      <c r="BJ65" s="183"/>
      <c r="BK65" s="183"/>
      <c r="BL65" s="183"/>
      <c r="BM65" s="183"/>
      <c r="BN65" s="183"/>
      <c r="BO65" s="183"/>
      <c r="BP65" s="183"/>
      <c r="BQ65" s="183"/>
      <c r="BR65" s="183"/>
      <c r="BS65" s="183"/>
      <c r="BT65" s="183"/>
      <c r="BU65" s="183"/>
      <c r="BV65" s="183"/>
      <c r="BW65" s="183"/>
      <c r="BX65" s="183"/>
      <c r="BY65" s="183"/>
      <c r="BZ65" s="183"/>
      <c r="CA65" s="183"/>
      <c r="CB65" s="183"/>
      <c r="CC65" s="183"/>
      <c r="CD65" s="183"/>
      <c r="CE65" s="183"/>
      <c r="CF65" s="183"/>
      <c r="CG65" s="183"/>
      <c r="CH65" s="183"/>
    </row>
    <row r="66" spans="1:86" ht="27.6" customHeight="1" x14ac:dyDescent="0.25">
      <c r="A66" s="178" t="s">
        <v>150</v>
      </c>
      <c r="B66" s="178" t="s">
        <v>415</v>
      </c>
      <c r="C66" s="204" t="s">
        <v>171</v>
      </c>
      <c r="D66" s="306">
        <v>112</v>
      </c>
      <c r="E66" s="13">
        <f t="shared" ref="E66:E68" si="28">$E$13</f>
        <v>226.90478691468232</v>
      </c>
      <c r="F66" s="13"/>
      <c r="G66" s="466"/>
      <c r="H66" s="311">
        <v>112</v>
      </c>
      <c r="I66" s="466">
        <f t="shared" si="26"/>
        <v>25413.33613444442</v>
      </c>
      <c r="J66" s="317"/>
      <c r="K66" s="466">
        <f t="shared" si="25"/>
        <v>0</v>
      </c>
      <c r="L66" s="466">
        <f t="shared" si="27"/>
        <v>25413.33613444442</v>
      </c>
    </row>
    <row r="67" spans="1:86" ht="27.6" customHeight="1" x14ac:dyDescent="0.25">
      <c r="A67" s="178" t="s">
        <v>151</v>
      </c>
      <c r="B67" s="178" t="s">
        <v>415</v>
      </c>
      <c r="C67" s="204" t="s">
        <v>171</v>
      </c>
      <c r="D67" s="306">
        <v>112</v>
      </c>
      <c r="E67" s="13">
        <f t="shared" si="28"/>
        <v>226.90478691468232</v>
      </c>
      <c r="F67" s="13"/>
      <c r="G67" s="466"/>
      <c r="H67" s="311">
        <v>112</v>
      </c>
      <c r="I67" s="466">
        <f t="shared" si="26"/>
        <v>25413.33613444442</v>
      </c>
      <c r="J67" s="317"/>
      <c r="K67" s="466">
        <f t="shared" si="25"/>
        <v>0</v>
      </c>
      <c r="L67" s="466">
        <f t="shared" si="27"/>
        <v>25413.33613444442</v>
      </c>
    </row>
    <row r="68" spans="1:86" ht="27.6" customHeight="1" x14ac:dyDescent="0.25">
      <c r="A68" s="178" t="s">
        <v>152</v>
      </c>
      <c r="B68" s="178" t="s">
        <v>416</v>
      </c>
      <c r="C68" s="204" t="s">
        <v>171</v>
      </c>
      <c r="D68" s="306">
        <v>96</v>
      </c>
      <c r="E68" s="13">
        <f t="shared" si="28"/>
        <v>226.90478691468232</v>
      </c>
      <c r="F68" s="13"/>
      <c r="G68" s="466"/>
      <c r="H68" s="311">
        <v>96</v>
      </c>
      <c r="I68" s="466">
        <f t="shared" si="26"/>
        <v>21782.859543809504</v>
      </c>
      <c r="J68" s="317"/>
      <c r="K68" s="466">
        <f t="shared" si="25"/>
        <v>0</v>
      </c>
      <c r="L68" s="466">
        <f t="shared" si="27"/>
        <v>21782.859543809504</v>
      </c>
    </row>
    <row r="69" spans="1:86" ht="27.6" customHeight="1" x14ac:dyDescent="0.25">
      <c r="A69" s="185" t="s">
        <v>205</v>
      </c>
      <c r="B69" s="192"/>
      <c r="C69" s="192"/>
      <c r="D69" s="307"/>
      <c r="E69" s="192"/>
      <c r="F69" s="192"/>
      <c r="G69" s="472"/>
      <c r="H69" s="312"/>
      <c r="I69" s="472"/>
      <c r="J69" s="318"/>
      <c r="K69" s="472"/>
      <c r="L69" s="472">
        <f>SUBTOTAL(9,L65:L68)</f>
        <v>94392.391356507855</v>
      </c>
    </row>
    <row r="70" spans="1:86" s="183" customFormat="1" x14ac:dyDescent="0.25">
      <c r="A70" s="180" t="s">
        <v>154</v>
      </c>
      <c r="B70" s="201"/>
      <c r="C70" s="201"/>
      <c r="D70" s="304"/>
      <c r="E70" s="201"/>
      <c r="F70" s="201"/>
      <c r="G70" s="471"/>
      <c r="H70" s="309"/>
      <c r="I70" s="471"/>
      <c r="J70" s="315"/>
      <c r="K70" s="471"/>
      <c r="L70" s="471"/>
    </row>
    <row r="71" spans="1:86" s="184" customFormat="1" x14ac:dyDescent="0.25">
      <c r="A71" s="202" t="s">
        <v>155</v>
      </c>
      <c r="B71" s="203"/>
      <c r="C71" s="203"/>
      <c r="D71" s="305"/>
      <c r="E71" s="203"/>
      <c r="F71" s="203"/>
      <c r="G71" s="473"/>
      <c r="H71" s="310"/>
      <c r="I71" s="473"/>
      <c r="J71" s="316"/>
      <c r="K71" s="473"/>
      <c r="L71" s="473"/>
      <c r="M71" s="183"/>
      <c r="N71" s="183"/>
      <c r="O71" s="183"/>
      <c r="P71" s="183"/>
      <c r="Q71" s="183"/>
      <c r="R71" s="183"/>
      <c r="S71" s="183"/>
      <c r="T71" s="183"/>
      <c r="U71" s="183"/>
      <c r="V71" s="183"/>
      <c r="W71" s="183"/>
      <c r="X71" s="183"/>
      <c r="Y71" s="183"/>
      <c r="Z71" s="183"/>
      <c r="AA71" s="183"/>
      <c r="AB71" s="183"/>
      <c r="AC71" s="183"/>
      <c r="AD71" s="183"/>
      <c r="AE71" s="183"/>
      <c r="AF71" s="183"/>
      <c r="AG71" s="183"/>
      <c r="AH71" s="183"/>
      <c r="AI71" s="183"/>
      <c r="AJ71" s="183"/>
      <c r="AK71" s="183"/>
      <c r="AL71" s="183"/>
      <c r="AM71" s="183"/>
      <c r="AN71" s="183"/>
      <c r="AO71" s="183"/>
      <c r="AP71" s="183"/>
      <c r="AQ71" s="183"/>
      <c r="AR71" s="183"/>
      <c r="AS71" s="183"/>
      <c r="AT71" s="183"/>
      <c r="AU71" s="183"/>
      <c r="AV71" s="183"/>
      <c r="AW71" s="183"/>
      <c r="AX71" s="183"/>
      <c r="AY71" s="183"/>
      <c r="AZ71" s="183"/>
      <c r="BA71" s="183"/>
      <c r="BB71" s="183"/>
      <c r="BC71" s="183"/>
      <c r="BD71" s="183"/>
      <c r="BE71" s="183"/>
      <c r="BF71" s="183"/>
      <c r="BG71" s="183"/>
      <c r="BH71" s="183"/>
      <c r="BI71" s="183"/>
      <c r="BJ71" s="183"/>
      <c r="BK71" s="183"/>
      <c r="BL71" s="183"/>
      <c r="BM71" s="183"/>
      <c r="BN71" s="183"/>
      <c r="BO71" s="183"/>
      <c r="BP71" s="183"/>
      <c r="BQ71" s="183"/>
      <c r="BR71" s="183"/>
      <c r="BS71" s="183"/>
      <c r="BT71" s="183"/>
      <c r="BU71" s="183"/>
      <c r="BV71" s="183"/>
      <c r="BW71" s="183"/>
      <c r="BX71" s="183"/>
      <c r="BY71" s="183"/>
      <c r="BZ71" s="183"/>
      <c r="CA71" s="183"/>
      <c r="CB71" s="183"/>
      <c r="CC71" s="183"/>
      <c r="CD71" s="183"/>
      <c r="CE71" s="183"/>
      <c r="CF71" s="183"/>
      <c r="CG71" s="183"/>
      <c r="CH71" s="183"/>
    </row>
    <row r="72" spans="1:86" s="206" customFormat="1" ht="27.6" customHeight="1" x14ac:dyDescent="0.25">
      <c r="A72" s="178" t="s">
        <v>156</v>
      </c>
      <c r="B72" s="178" t="s">
        <v>265</v>
      </c>
      <c r="C72" s="204" t="s">
        <v>171</v>
      </c>
      <c r="D72" s="306">
        <f>69*4</f>
        <v>276</v>
      </c>
      <c r="E72" s="13">
        <f>$E$13</f>
        <v>226.90478691468232</v>
      </c>
      <c r="F72" s="13"/>
      <c r="G72" s="466"/>
      <c r="H72" s="311">
        <v>276</v>
      </c>
      <c r="I72" s="466">
        <f t="shared" ref="I72:I79" si="29">+H72*E72</f>
        <v>62625.72118845232</v>
      </c>
      <c r="J72" s="317"/>
      <c r="K72" s="466">
        <f t="shared" ref="K72:K79" si="30">+J72*E72</f>
        <v>0</v>
      </c>
      <c r="L72" s="466">
        <f t="shared" ref="L72:L79" si="31">D72*E72</f>
        <v>62625.72118845232</v>
      </c>
      <c r="M72" s="183"/>
      <c r="N72" s="183"/>
      <c r="O72" s="183"/>
      <c r="P72" s="183"/>
      <c r="Q72" s="183"/>
      <c r="R72" s="183"/>
      <c r="S72" s="183"/>
      <c r="T72" s="183"/>
      <c r="U72" s="183"/>
      <c r="V72" s="183"/>
      <c r="W72" s="183"/>
      <c r="X72" s="183"/>
      <c r="Y72" s="183"/>
      <c r="Z72" s="183"/>
      <c r="AA72" s="183"/>
      <c r="AB72" s="183"/>
      <c r="AC72" s="183"/>
      <c r="AD72" s="183"/>
      <c r="AE72" s="183"/>
      <c r="AF72" s="183"/>
      <c r="AG72" s="183"/>
      <c r="AH72" s="183"/>
      <c r="AI72" s="183"/>
      <c r="AJ72" s="183"/>
      <c r="AK72" s="183"/>
      <c r="AL72" s="183"/>
      <c r="AM72" s="183"/>
      <c r="AN72" s="183"/>
      <c r="AO72" s="183"/>
      <c r="AP72" s="183"/>
      <c r="AQ72" s="183"/>
      <c r="AR72" s="183"/>
      <c r="AS72" s="183"/>
      <c r="AT72" s="183"/>
      <c r="AU72" s="183"/>
      <c r="AV72" s="183"/>
      <c r="AW72" s="183"/>
      <c r="AX72" s="183"/>
      <c r="AY72" s="183"/>
      <c r="AZ72" s="183"/>
      <c r="BA72" s="183"/>
      <c r="BB72" s="183"/>
      <c r="BC72" s="183"/>
      <c r="BD72" s="183"/>
      <c r="BE72" s="183"/>
      <c r="BF72" s="183"/>
      <c r="BG72" s="183"/>
      <c r="BH72" s="183"/>
      <c r="BI72" s="183"/>
      <c r="BJ72" s="183"/>
      <c r="BK72" s="183"/>
      <c r="BL72" s="183"/>
      <c r="BM72" s="183"/>
      <c r="BN72" s="183"/>
      <c r="BO72" s="183"/>
      <c r="BP72" s="183"/>
      <c r="BQ72" s="183"/>
      <c r="BR72" s="183"/>
      <c r="BS72" s="183"/>
      <c r="BT72" s="183"/>
      <c r="BU72" s="183"/>
      <c r="BV72" s="183"/>
      <c r="BW72" s="183"/>
      <c r="BX72" s="183"/>
      <c r="BY72" s="183"/>
      <c r="BZ72" s="183"/>
      <c r="CA72" s="183"/>
      <c r="CB72" s="183"/>
      <c r="CC72" s="183"/>
      <c r="CD72" s="183"/>
      <c r="CE72" s="183"/>
      <c r="CF72" s="183"/>
      <c r="CG72" s="183"/>
      <c r="CH72" s="183"/>
    </row>
    <row r="73" spans="1:86" ht="27.6" customHeight="1" x14ac:dyDescent="0.25">
      <c r="A73" s="178" t="s">
        <v>157</v>
      </c>
      <c r="B73" s="178" t="s">
        <v>265</v>
      </c>
      <c r="C73" s="204" t="s">
        <v>171</v>
      </c>
      <c r="D73" s="306">
        <f>69*4</f>
        <v>276</v>
      </c>
      <c r="E73" s="13">
        <f t="shared" ref="E73:E74" si="32">$E$13</f>
        <v>226.90478691468232</v>
      </c>
      <c r="F73" s="13"/>
      <c r="G73" s="466"/>
      <c r="H73" s="311">
        <v>276</v>
      </c>
      <c r="I73" s="466">
        <f t="shared" si="29"/>
        <v>62625.72118845232</v>
      </c>
      <c r="J73" s="317"/>
      <c r="K73" s="466">
        <f t="shared" si="30"/>
        <v>0</v>
      </c>
      <c r="L73" s="466">
        <f t="shared" si="31"/>
        <v>62625.72118845232</v>
      </c>
    </row>
    <row r="74" spans="1:86" ht="27.6" customHeight="1" x14ac:dyDescent="0.25">
      <c r="A74" s="178" t="s">
        <v>158</v>
      </c>
      <c r="B74" s="178" t="s">
        <v>265</v>
      </c>
      <c r="C74" s="204" t="s">
        <v>171</v>
      </c>
      <c r="D74" s="306">
        <f>69*4</f>
        <v>276</v>
      </c>
      <c r="E74" s="13">
        <f t="shared" si="32"/>
        <v>226.90478691468232</v>
      </c>
      <c r="F74" s="13"/>
      <c r="G74" s="466"/>
      <c r="H74" s="311">
        <v>276</v>
      </c>
      <c r="I74" s="466">
        <f t="shared" si="29"/>
        <v>62625.72118845232</v>
      </c>
      <c r="J74" s="317"/>
      <c r="K74" s="466">
        <f t="shared" si="30"/>
        <v>0</v>
      </c>
      <c r="L74" s="466">
        <f t="shared" si="31"/>
        <v>62625.72118845232</v>
      </c>
    </row>
    <row r="75" spans="1:86" ht="27.6" customHeight="1" x14ac:dyDescent="0.25">
      <c r="A75" s="178" t="s">
        <v>159</v>
      </c>
      <c r="B75" s="178" t="s">
        <v>239</v>
      </c>
      <c r="C75" s="204" t="s">
        <v>240</v>
      </c>
      <c r="D75" s="306"/>
      <c r="E75" s="13"/>
      <c r="F75" s="13"/>
      <c r="G75" s="466"/>
      <c r="H75" s="311"/>
      <c r="I75" s="466">
        <f t="shared" si="29"/>
        <v>0</v>
      </c>
      <c r="J75" s="317"/>
      <c r="K75" s="466">
        <f t="shared" si="30"/>
        <v>0</v>
      </c>
      <c r="L75" s="466"/>
    </row>
    <row r="76" spans="1:86" ht="27.6" customHeight="1" x14ac:dyDescent="0.25">
      <c r="A76" s="178" t="s">
        <v>160</v>
      </c>
      <c r="B76" s="178" t="s">
        <v>265</v>
      </c>
      <c r="C76" s="204" t="s">
        <v>171</v>
      </c>
      <c r="D76" s="306">
        <f>69*4</f>
        <v>276</v>
      </c>
      <c r="E76" s="13">
        <f>$E$13</f>
        <v>226.90478691468232</v>
      </c>
      <c r="F76" s="13"/>
      <c r="G76" s="466"/>
      <c r="H76" s="311">
        <v>276</v>
      </c>
      <c r="I76" s="466">
        <f t="shared" si="29"/>
        <v>62625.72118845232</v>
      </c>
      <c r="J76" s="317"/>
      <c r="K76" s="466">
        <f t="shared" si="30"/>
        <v>0</v>
      </c>
      <c r="L76" s="466">
        <f t="shared" si="31"/>
        <v>62625.72118845232</v>
      </c>
    </row>
    <row r="77" spans="1:86" ht="27.6" customHeight="1" x14ac:dyDescent="0.25">
      <c r="A77" s="178" t="s">
        <v>85</v>
      </c>
      <c r="B77" s="178" t="s">
        <v>266</v>
      </c>
      <c r="C77" s="204" t="s">
        <v>171</v>
      </c>
      <c r="D77" s="306">
        <f>2*69</f>
        <v>138</v>
      </c>
      <c r="E77" s="13">
        <f t="shared" ref="E77:E79" si="33">$E$13</f>
        <v>226.90478691468232</v>
      </c>
      <c r="F77" s="13"/>
      <c r="G77" s="466"/>
      <c r="H77" s="311">
        <v>138</v>
      </c>
      <c r="I77" s="466">
        <f t="shared" si="29"/>
        <v>31312.86059422616</v>
      </c>
      <c r="J77" s="317"/>
      <c r="K77" s="466">
        <f t="shared" si="30"/>
        <v>0</v>
      </c>
      <c r="L77" s="466">
        <f t="shared" si="31"/>
        <v>31312.86059422616</v>
      </c>
    </row>
    <row r="78" spans="1:86" ht="27.6" customHeight="1" x14ac:dyDescent="0.25">
      <c r="A78" s="178" t="s">
        <v>161</v>
      </c>
      <c r="B78" s="178" t="s">
        <v>429</v>
      </c>
      <c r="C78" s="204" t="s">
        <v>171</v>
      </c>
      <c r="D78" s="306">
        <v>16</v>
      </c>
      <c r="E78" s="13">
        <f t="shared" si="33"/>
        <v>226.90478691468232</v>
      </c>
      <c r="F78" s="13"/>
      <c r="G78" s="466"/>
      <c r="H78" s="311">
        <v>16</v>
      </c>
      <c r="I78" s="466">
        <f t="shared" si="29"/>
        <v>3630.4765906349171</v>
      </c>
      <c r="J78" s="317"/>
      <c r="K78" s="466">
        <f t="shared" si="30"/>
        <v>0</v>
      </c>
      <c r="L78" s="466">
        <f t="shared" si="31"/>
        <v>3630.4765906349171</v>
      </c>
    </row>
    <row r="79" spans="1:86" ht="27.6" customHeight="1" x14ac:dyDescent="0.25">
      <c r="A79" s="178" t="s">
        <v>162</v>
      </c>
      <c r="B79" s="178" t="s">
        <v>266</v>
      </c>
      <c r="C79" s="204" t="s">
        <v>171</v>
      </c>
      <c r="D79" s="306">
        <f>2*69</f>
        <v>138</v>
      </c>
      <c r="E79" s="13">
        <f t="shared" si="33"/>
        <v>226.90478691468232</v>
      </c>
      <c r="F79" s="13"/>
      <c r="G79" s="466"/>
      <c r="H79" s="311">
        <v>138</v>
      </c>
      <c r="I79" s="466">
        <f t="shared" si="29"/>
        <v>31312.86059422616</v>
      </c>
      <c r="J79" s="317"/>
      <c r="K79" s="466">
        <f t="shared" si="30"/>
        <v>0</v>
      </c>
      <c r="L79" s="466">
        <f t="shared" si="31"/>
        <v>31312.86059422616</v>
      </c>
    </row>
    <row r="80" spans="1:86" ht="27.6" customHeight="1" x14ac:dyDescent="0.25">
      <c r="A80" s="202" t="s">
        <v>168</v>
      </c>
      <c r="B80" s="203"/>
      <c r="C80" s="203"/>
      <c r="D80" s="305"/>
      <c r="E80" s="203"/>
      <c r="F80" s="203"/>
      <c r="G80" s="473"/>
      <c r="H80" s="310"/>
      <c r="I80" s="473"/>
      <c r="J80" s="316"/>
      <c r="K80" s="473"/>
      <c r="L80" s="473"/>
    </row>
    <row r="81" spans="1:86" s="206" customFormat="1" ht="27.6" customHeight="1" x14ac:dyDescent="0.25">
      <c r="A81" s="178" t="s">
        <v>163</v>
      </c>
      <c r="B81" s="207" t="s">
        <v>237</v>
      </c>
      <c r="C81" s="204" t="s">
        <v>221</v>
      </c>
      <c r="D81" s="306"/>
      <c r="E81" s="13"/>
      <c r="F81" s="13"/>
      <c r="G81" s="466"/>
      <c r="H81" s="311"/>
      <c r="I81" s="466">
        <f t="shared" ref="I81:I85" si="34">+H81*E81</f>
        <v>0</v>
      </c>
      <c r="J81" s="317"/>
      <c r="K81" s="466">
        <f t="shared" ref="K81:K91" si="35">+J81*E81</f>
        <v>0</v>
      </c>
      <c r="L81" s="466"/>
      <c r="M81" s="183"/>
      <c r="N81" s="183"/>
      <c r="O81" s="183"/>
      <c r="P81" s="183"/>
      <c r="Q81" s="183"/>
      <c r="R81" s="183"/>
      <c r="S81" s="183"/>
      <c r="T81" s="183"/>
      <c r="U81" s="183"/>
      <c r="V81" s="183"/>
      <c r="W81" s="183"/>
      <c r="X81" s="183"/>
      <c r="Y81" s="183"/>
      <c r="Z81" s="183"/>
      <c r="AA81" s="183"/>
      <c r="AB81" s="183"/>
      <c r="AC81" s="183"/>
      <c r="AD81" s="183"/>
      <c r="AE81" s="183"/>
      <c r="AF81" s="183"/>
      <c r="AG81" s="183"/>
      <c r="AH81" s="183"/>
      <c r="AI81" s="183"/>
      <c r="AJ81" s="183"/>
      <c r="AK81" s="183"/>
      <c r="AL81" s="183"/>
      <c r="AM81" s="183"/>
      <c r="AN81" s="183"/>
      <c r="AO81" s="183"/>
      <c r="AP81" s="183"/>
      <c r="AQ81" s="183"/>
      <c r="AR81" s="183"/>
      <c r="AS81" s="183"/>
      <c r="AT81" s="183"/>
      <c r="AU81" s="183"/>
      <c r="AV81" s="183"/>
      <c r="AW81" s="183"/>
      <c r="AX81" s="183"/>
      <c r="AY81" s="183"/>
      <c r="AZ81" s="183"/>
      <c r="BA81" s="183"/>
      <c r="BB81" s="183"/>
      <c r="BC81" s="183"/>
      <c r="BD81" s="183"/>
      <c r="BE81" s="183"/>
      <c r="BF81" s="183"/>
      <c r="BG81" s="183"/>
      <c r="BH81" s="183"/>
      <c r="BI81" s="183"/>
      <c r="BJ81" s="183"/>
      <c r="BK81" s="183"/>
      <c r="BL81" s="183"/>
      <c r="BM81" s="183"/>
      <c r="BN81" s="183"/>
      <c r="BO81" s="183"/>
      <c r="BP81" s="183"/>
      <c r="BQ81" s="183"/>
      <c r="BR81" s="183"/>
      <c r="BS81" s="183"/>
      <c r="BT81" s="183"/>
      <c r="BU81" s="183"/>
      <c r="BV81" s="183"/>
      <c r="BW81" s="183"/>
      <c r="BX81" s="183"/>
      <c r="BY81" s="183"/>
      <c r="BZ81" s="183"/>
      <c r="CA81" s="183"/>
      <c r="CB81" s="183"/>
      <c r="CC81" s="183"/>
      <c r="CD81" s="183"/>
      <c r="CE81" s="183"/>
      <c r="CF81" s="183"/>
      <c r="CG81" s="183"/>
      <c r="CH81" s="183"/>
    </row>
    <row r="82" spans="1:86" ht="27.6" customHeight="1" x14ac:dyDescent="0.25">
      <c r="A82" s="178" t="s">
        <v>164</v>
      </c>
      <c r="B82" s="207" t="s">
        <v>237</v>
      </c>
      <c r="C82" s="204" t="s">
        <v>221</v>
      </c>
      <c r="D82" s="306"/>
      <c r="E82" s="13"/>
      <c r="F82" s="13"/>
      <c r="G82" s="466"/>
      <c r="H82" s="311"/>
      <c r="I82" s="466">
        <f t="shared" si="34"/>
        <v>0</v>
      </c>
      <c r="J82" s="317"/>
      <c r="K82" s="466">
        <f t="shared" si="35"/>
        <v>0</v>
      </c>
      <c r="L82" s="466"/>
    </row>
    <row r="83" spans="1:86" ht="27.6" customHeight="1" x14ac:dyDescent="0.25">
      <c r="A83" s="178" t="s">
        <v>165</v>
      </c>
      <c r="B83" s="207" t="s">
        <v>237</v>
      </c>
      <c r="C83" s="204" t="s">
        <v>221</v>
      </c>
      <c r="D83" s="306"/>
      <c r="E83" s="13"/>
      <c r="F83" s="13"/>
      <c r="G83" s="466"/>
      <c r="H83" s="311"/>
      <c r="I83" s="466">
        <f t="shared" si="34"/>
        <v>0</v>
      </c>
      <c r="J83" s="317"/>
      <c r="K83" s="466">
        <f t="shared" si="35"/>
        <v>0</v>
      </c>
      <c r="L83" s="466"/>
    </row>
    <row r="84" spans="1:86" ht="27.6" customHeight="1" x14ac:dyDescent="0.25">
      <c r="A84" s="178" t="s">
        <v>166</v>
      </c>
      <c r="B84" s="207" t="s">
        <v>237</v>
      </c>
      <c r="C84" s="204" t="s">
        <v>221</v>
      </c>
      <c r="D84" s="306"/>
      <c r="E84" s="13"/>
      <c r="F84" s="13"/>
      <c r="G84" s="466"/>
      <c r="H84" s="311"/>
      <c r="I84" s="466">
        <f t="shared" si="34"/>
        <v>0</v>
      </c>
      <c r="J84" s="317"/>
      <c r="K84" s="466">
        <f t="shared" si="35"/>
        <v>0</v>
      </c>
      <c r="L84" s="466"/>
    </row>
    <row r="85" spans="1:86" ht="27.6" customHeight="1" x14ac:dyDescent="0.25">
      <c r="A85" s="178" t="s">
        <v>167</v>
      </c>
      <c r="B85" s="207" t="s">
        <v>237</v>
      </c>
      <c r="C85" s="204" t="s">
        <v>221</v>
      </c>
      <c r="D85" s="306"/>
      <c r="E85" s="13"/>
      <c r="F85" s="13"/>
      <c r="G85" s="466"/>
      <c r="H85" s="311"/>
      <c r="I85" s="466">
        <f t="shared" si="34"/>
        <v>0</v>
      </c>
      <c r="J85" s="317"/>
      <c r="K85" s="466">
        <f t="shared" si="35"/>
        <v>0</v>
      </c>
      <c r="L85" s="466"/>
    </row>
    <row r="86" spans="1:86" ht="27.6" customHeight="1" x14ac:dyDescent="0.25">
      <c r="A86" s="202" t="s">
        <v>169</v>
      </c>
      <c r="B86" s="203"/>
      <c r="C86" s="203"/>
      <c r="D86" s="305"/>
      <c r="E86" s="203"/>
      <c r="F86" s="203"/>
      <c r="G86" s="473"/>
      <c r="H86" s="310"/>
      <c r="I86" s="473"/>
      <c r="J86" s="316"/>
      <c r="K86" s="473"/>
      <c r="L86" s="473"/>
    </row>
    <row r="87" spans="1:86" s="206" customFormat="1" ht="27.6" customHeight="1" x14ac:dyDescent="0.25">
      <c r="A87" s="178" t="s">
        <v>132</v>
      </c>
      <c r="B87" s="207" t="s">
        <v>237</v>
      </c>
      <c r="C87" s="204" t="s">
        <v>221</v>
      </c>
      <c r="D87" s="306"/>
      <c r="E87" s="13"/>
      <c r="F87" s="13"/>
      <c r="G87" s="466"/>
      <c r="H87" s="311"/>
      <c r="I87" s="466">
        <f t="shared" ref="I87:I91" si="36">+H87*E87</f>
        <v>0</v>
      </c>
      <c r="J87" s="317"/>
      <c r="K87" s="466">
        <f t="shared" si="35"/>
        <v>0</v>
      </c>
      <c r="L87" s="466"/>
      <c r="M87" s="183"/>
      <c r="N87" s="183"/>
      <c r="O87" s="183"/>
      <c r="P87" s="183"/>
      <c r="Q87" s="183"/>
      <c r="R87" s="183"/>
      <c r="S87" s="183"/>
      <c r="T87" s="183"/>
      <c r="U87" s="183"/>
      <c r="V87" s="183"/>
      <c r="W87" s="183"/>
      <c r="X87" s="183"/>
      <c r="Y87" s="183"/>
      <c r="Z87" s="183"/>
      <c r="AA87" s="183"/>
      <c r="AB87" s="183"/>
      <c r="AC87" s="183"/>
      <c r="AD87" s="183"/>
      <c r="AE87" s="183"/>
      <c r="AF87" s="183"/>
      <c r="AG87" s="183"/>
      <c r="AH87" s="183"/>
      <c r="AI87" s="183"/>
      <c r="AJ87" s="183"/>
      <c r="AK87" s="183"/>
      <c r="AL87" s="183"/>
      <c r="AM87" s="183"/>
      <c r="AN87" s="183"/>
      <c r="AO87" s="183"/>
      <c r="AP87" s="183"/>
      <c r="AQ87" s="183"/>
      <c r="AR87" s="183"/>
      <c r="AS87" s="183"/>
      <c r="AT87" s="183"/>
      <c r="AU87" s="183"/>
      <c r="AV87" s="183"/>
      <c r="AW87" s="183"/>
      <c r="AX87" s="183"/>
      <c r="AY87" s="183"/>
      <c r="AZ87" s="183"/>
      <c r="BA87" s="183"/>
      <c r="BB87" s="183"/>
      <c r="BC87" s="183"/>
      <c r="BD87" s="183"/>
      <c r="BE87" s="183"/>
      <c r="BF87" s="183"/>
      <c r="BG87" s="183"/>
      <c r="BH87" s="183"/>
      <c r="BI87" s="183"/>
      <c r="BJ87" s="183"/>
      <c r="BK87" s="183"/>
      <c r="BL87" s="183"/>
      <c r="BM87" s="183"/>
      <c r="BN87" s="183"/>
      <c r="BO87" s="183"/>
      <c r="BP87" s="183"/>
      <c r="BQ87" s="183"/>
      <c r="BR87" s="183"/>
      <c r="BS87" s="183"/>
      <c r="BT87" s="183"/>
      <c r="BU87" s="183"/>
      <c r="BV87" s="183"/>
      <c r="BW87" s="183"/>
      <c r="BX87" s="183"/>
      <c r="BY87" s="183"/>
      <c r="BZ87" s="183"/>
      <c r="CA87" s="183"/>
      <c r="CB87" s="183"/>
      <c r="CC87" s="183"/>
      <c r="CD87" s="183"/>
      <c r="CE87" s="183"/>
      <c r="CF87" s="183"/>
      <c r="CG87" s="183"/>
      <c r="CH87" s="183"/>
    </row>
    <row r="88" spans="1:86" ht="27.6" customHeight="1" x14ac:dyDescent="0.25">
      <c r="A88" s="178" t="s">
        <v>164</v>
      </c>
      <c r="B88" s="207" t="s">
        <v>237</v>
      </c>
      <c r="C88" s="204" t="s">
        <v>221</v>
      </c>
      <c r="D88" s="306"/>
      <c r="E88" s="13"/>
      <c r="F88" s="13"/>
      <c r="G88" s="466"/>
      <c r="H88" s="311"/>
      <c r="I88" s="466">
        <f t="shared" si="36"/>
        <v>0</v>
      </c>
      <c r="J88" s="317"/>
      <c r="K88" s="466">
        <f t="shared" si="35"/>
        <v>0</v>
      </c>
      <c r="L88" s="466"/>
    </row>
    <row r="89" spans="1:86" ht="27.6" customHeight="1" x14ac:dyDescent="0.25">
      <c r="A89" s="178" t="s">
        <v>165</v>
      </c>
      <c r="B89" s="207" t="s">
        <v>237</v>
      </c>
      <c r="C89" s="204" t="s">
        <v>221</v>
      </c>
      <c r="D89" s="306"/>
      <c r="E89" s="13"/>
      <c r="F89" s="13"/>
      <c r="G89" s="466"/>
      <c r="H89" s="311"/>
      <c r="I89" s="466">
        <f t="shared" si="36"/>
        <v>0</v>
      </c>
      <c r="J89" s="317"/>
      <c r="K89" s="466">
        <f t="shared" si="35"/>
        <v>0</v>
      </c>
      <c r="L89" s="466"/>
    </row>
    <row r="90" spans="1:86" ht="27.6" customHeight="1" x14ac:dyDescent="0.25">
      <c r="A90" s="178" t="s">
        <v>166</v>
      </c>
      <c r="B90" s="207" t="s">
        <v>237</v>
      </c>
      <c r="C90" s="204" t="s">
        <v>221</v>
      </c>
      <c r="D90" s="306"/>
      <c r="E90" s="13"/>
      <c r="F90" s="13"/>
      <c r="G90" s="466"/>
      <c r="H90" s="311"/>
      <c r="I90" s="466">
        <f t="shared" si="36"/>
        <v>0</v>
      </c>
      <c r="J90" s="317"/>
      <c r="K90" s="466">
        <f t="shared" si="35"/>
        <v>0</v>
      </c>
      <c r="L90" s="466"/>
    </row>
    <row r="91" spans="1:86" ht="27.6" customHeight="1" x14ac:dyDescent="0.25">
      <c r="A91" s="178" t="s">
        <v>167</v>
      </c>
      <c r="B91" s="207" t="s">
        <v>237</v>
      </c>
      <c r="C91" s="204" t="s">
        <v>221</v>
      </c>
      <c r="D91" s="306"/>
      <c r="E91" s="13"/>
      <c r="F91" s="13"/>
      <c r="G91" s="466"/>
      <c r="H91" s="311"/>
      <c r="I91" s="466">
        <f t="shared" si="36"/>
        <v>0</v>
      </c>
      <c r="J91" s="317"/>
      <c r="K91" s="466">
        <f t="shared" si="35"/>
        <v>0</v>
      </c>
      <c r="L91" s="466"/>
    </row>
    <row r="92" spans="1:86" s="78" customFormat="1" ht="27.6" customHeight="1" thickBot="1" x14ac:dyDescent="0.3">
      <c r="A92" s="446" t="s">
        <v>241</v>
      </c>
      <c r="B92" s="447"/>
      <c r="C92" s="447"/>
      <c r="D92" s="447"/>
      <c r="E92" s="447"/>
      <c r="F92" s="447"/>
      <c r="G92" s="474"/>
      <c r="H92" s="447"/>
      <c r="I92" s="474"/>
      <c r="J92" s="447"/>
      <c r="K92" s="474"/>
      <c r="L92" s="474">
        <f>SUBTOTAL(9,L72:L91)</f>
        <v>316759.08253289649</v>
      </c>
      <c r="M92" s="227"/>
      <c r="N92" s="227"/>
      <c r="O92" s="227"/>
      <c r="P92" s="227"/>
      <c r="Q92" s="227"/>
      <c r="R92" s="227"/>
      <c r="S92" s="227"/>
      <c r="T92" s="227"/>
      <c r="U92" s="227"/>
      <c r="V92" s="227"/>
      <c r="W92" s="227"/>
      <c r="X92" s="227"/>
      <c r="Y92" s="227"/>
      <c r="Z92" s="227"/>
      <c r="AA92" s="227"/>
      <c r="AB92" s="227"/>
      <c r="AC92" s="227"/>
      <c r="AD92" s="227"/>
      <c r="AE92" s="227"/>
      <c r="AF92" s="227"/>
      <c r="AG92" s="227"/>
      <c r="AH92" s="227"/>
      <c r="AI92" s="227"/>
      <c r="AJ92" s="227"/>
      <c r="AK92" s="227"/>
      <c r="AL92" s="227"/>
      <c r="AM92" s="227"/>
      <c r="AN92" s="227"/>
      <c r="AO92" s="227"/>
      <c r="AP92" s="227"/>
      <c r="AQ92" s="227"/>
      <c r="AR92" s="227"/>
      <c r="AS92" s="227"/>
      <c r="AT92" s="227"/>
      <c r="AU92" s="227"/>
      <c r="AV92" s="227"/>
      <c r="AW92" s="227"/>
      <c r="AX92" s="227"/>
      <c r="AY92" s="227"/>
      <c r="AZ92" s="227"/>
      <c r="BA92" s="227"/>
      <c r="BB92" s="227"/>
      <c r="BC92" s="227"/>
      <c r="BD92" s="227"/>
      <c r="BE92" s="227"/>
      <c r="BF92" s="227"/>
      <c r="BG92" s="227"/>
      <c r="BH92" s="227"/>
      <c r="BI92" s="227"/>
      <c r="BJ92" s="227"/>
      <c r="BK92" s="227"/>
      <c r="BL92" s="227"/>
      <c r="BM92" s="227"/>
      <c r="BN92" s="227"/>
      <c r="BO92" s="227"/>
      <c r="BP92" s="227"/>
      <c r="BQ92" s="227"/>
      <c r="BR92" s="227"/>
      <c r="BS92" s="227"/>
      <c r="BT92" s="227"/>
      <c r="BU92" s="227"/>
      <c r="BV92" s="227"/>
      <c r="BW92" s="227"/>
      <c r="BX92" s="227"/>
      <c r="BY92" s="227"/>
      <c r="BZ92" s="227"/>
      <c r="CA92" s="227"/>
      <c r="CB92" s="227"/>
      <c r="CC92" s="227"/>
      <c r="CD92" s="227"/>
      <c r="CE92" s="227"/>
      <c r="CF92" s="227"/>
      <c r="CG92" s="227"/>
      <c r="CH92" s="227"/>
    </row>
    <row r="93" spans="1:86" s="78" customFormat="1" ht="27.6" customHeight="1" thickBot="1" x14ac:dyDescent="0.3">
      <c r="A93" s="448" t="s">
        <v>241</v>
      </c>
      <c r="B93" s="449"/>
      <c r="C93" s="449" t="s">
        <v>242</v>
      </c>
      <c r="D93" s="450">
        <f>SUM(D4:D92)</f>
        <v>8408</v>
      </c>
      <c r="E93" s="449"/>
      <c r="F93" s="456">
        <f>SUM(F4:F92)</f>
        <v>400</v>
      </c>
      <c r="G93" s="479">
        <f t="shared" ref="G93:K93" si="37">SUM(G4:G92)</f>
        <v>98152.6</v>
      </c>
      <c r="H93" s="451">
        <f>SUM(H4:H92)</f>
        <v>7816</v>
      </c>
      <c r="I93" s="476">
        <f t="shared" si="37"/>
        <v>1773487.8145251563</v>
      </c>
      <c r="J93" s="452">
        <f>SUM(J4:J92)</f>
        <v>192</v>
      </c>
      <c r="K93" s="480">
        <f t="shared" si="37"/>
        <v>47113.248000000007</v>
      </c>
      <c r="L93" s="478">
        <f>SUBTOTAL(9,L4:L92)</f>
        <v>1918753.6625251563</v>
      </c>
      <c r="M93" s="227"/>
      <c r="N93" s="227"/>
      <c r="O93" s="227"/>
      <c r="P93" s="227"/>
      <c r="Q93" s="227"/>
      <c r="R93" s="227"/>
      <c r="S93" s="227"/>
      <c r="T93" s="227"/>
      <c r="U93" s="227"/>
      <c r="V93" s="227"/>
      <c r="W93" s="227"/>
      <c r="X93" s="227"/>
      <c r="Y93" s="227"/>
      <c r="Z93" s="227"/>
      <c r="AA93" s="227"/>
      <c r="AB93" s="227"/>
      <c r="AC93" s="227"/>
      <c r="AD93" s="227"/>
      <c r="AE93" s="227"/>
      <c r="AF93" s="227"/>
      <c r="AG93" s="227"/>
      <c r="AH93" s="227"/>
      <c r="AI93" s="227"/>
      <c r="AJ93" s="227"/>
      <c r="AK93" s="227"/>
      <c r="AL93" s="227"/>
      <c r="AM93" s="227"/>
      <c r="AN93" s="227"/>
      <c r="AO93" s="227"/>
      <c r="AP93" s="227"/>
      <c r="AQ93" s="227"/>
      <c r="AR93" s="227"/>
      <c r="AS93" s="227"/>
      <c r="AT93" s="227"/>
      <c r="AU93" s="227"/>
      <c r="AV93" s="227"/>
      <c r="AW93" s="227"/>
      <c r="AX93" s="227"/>
      <c r="AY93" s="227"/>
      <c r="AZ93" s="227"/>
      <c r="BA93" s="227"/>
      <c r="BB93" s="227"/>
      <c r="BC93" s="227"/>
      <c r="BD93" s="227"/>
      <c r="BE93" s="227"/>
      <c r="BF93" s="227"/>
      <c r="BG93" s="227"/>
      <c r="BH93" s="227"/>
      <c r="BI93" s="227"/>
      <c r="BJ93" s="227"/>
      <c r="BK93" s="227"/>
      <c r="BL93" s="227"/>
      <c r="BM93" s="227"/>
      <c r="BN93" s="227"/>
      <c r="BO93" s="227"/>
      <c r="BP93" s="227"/>
      <c r="BQ93" s="227"/>
      <c r="BR93" s="227"/>
      <c r="BS93" s="227"/>
      <c r="BT93" s="227"/>
      <c r="BU93" s="227"/>
      <c r="BV93" s="227"/>
      <c r="BW93" s="227"/>
      <c r="BX93" s="227"/>
      <c r="BY93" s="227"/>
      <c r="BZ93" s="227"/>
      <c r="CA93" s="227"/>
      <c r="CB93" s="227"/>
      <c r="CC93" s="227"/>
      <c r="CD93" s="227"/>
      <c r="CE93" s="227"/>
      <c r="CF93" s="227"/>
      <c r="CG93" s="227"/>
      <c r="CH93" s="227"/>
    </row>
    <row r="94" spans="1:86" ht="15.75" thickBot="1" x14ac:dyDescent="0.3"/>
    <row r="95" spans="1:86" x14ac:dyDescent="0.25">
      <c r="A95" s="510" t="s">
        <v>272</v>
      </c>
      <c r="B95" s="512"/>
    </row>
    <row r="96" spans="1:86" x14ac:dyDescent="0.25">
      <c r="A96" s="195" t="s">
        <v>183</v>
      </c>
      <c r="B96" s="197" t="s">
        <v>184</v>
      </c>
      <c r="H96" s="439"/>
    </row>
    <row r="97" spans="1:2" x14ac:dyDescent="0.25">
      <c r="A97" s="195" t="s">
        <v>185</v>
      </c>
      <c r="B97" s="197">
        <v>6</v>
      </c>
    </row>
    <row r="98" spans="1:2" x14ac:dyDescent="0.25">
      <c r="A98" s="195" t="s">
        <v>186</v>
      </c>
      <c r="B98" s="197">
        <v>2</v>
      </c>
    </row>
    <row r="99" spans="1:2" x14ac:dyDescent="0.25">
      <c r="A99" s="195" t="s">
        <v>187</v>
      </c>
      <c r="B99" s="197">
        <v>2</v>
      </c>
    </row>
    <row r="100" spans="1:2" x14ac:dyDescent="0.25">
      <c r="A100" s="195" t="s">
        <v>188</v>
      </c>
      <c r="B100" s="197">
        <v>4</v>
      </c>
    </row>
    <row r="101" spans="1:2" x14ac:dyDescent="0.25">
      <c r="A101" s="195" t="s">
        <v>189</v>
      </c>
      <c r="B101" s="197">
        <v>4</v>
      </c>
    </row>
    <row r="102" spans="1:2" x14ac:dyDescent="0.25">
      <c r="A102" s="195" t="s">
        <v>190</v>
      </c>
      <c r="B102" s="197">
        <v>4</v>
      </c>
    </row>
    <row r="103" spans="1:2" x14ac:dyDescent="0.25">
      <c r="A103" s="195" t="s">
        <v>191</v>
      </c>
      <c r="B103" s="197">
        <v>2</v>
      </c>
    </row>
    <row r="104" spans="1:2" x14ac:dyDescent="0.25">
      <c r="A104" s="195" t="s">
        <v>192</v>
      </c>
      <c r="B104" s="197">
        <v>2</v>
      </c>
    </row>
    <row r="105" spans="1:2" x14ac:dyDescent="0.25">
      <c r="A105" s="195" t="s">
        <v>193</v>
      </c>
      <c r="B105" s="197">
        <v>4</v>
      </c>
    </row>
    <row r="106" spans="1:2" x14ac:dyDescent="0.25">
      <c r="A106" s="195" t="s">
        <v>194</v>
      </c>
      <c r="B106" s="197">
        <v>2</v>
      </c>
    </row>
    <row r="107" spans="1:2" x14ac:dyDescent="0.25">
      <c r="A107" s="195" t="s">
        <v>195</v>
      </c>
      <c r="B107" s="197"/>
    </row>
    <row r="108" spans="1:2" x14ac:dyDescent="0.25">
      <c r="A108" s="195" t="s">
        <v>185</v>
      </c>
      <c r="B108" s="197">
        <v>1</v>
      </c>
    </row>
    <row r="109" spans="1:2" x14ac:dyDescent="0.25">
      <c r="A109" s="195" t="s">
        <v>198</v>
      </c>
      <c r="B109" s="197">
        <v>1</v>
      </c>
    </row>
    <row r="110" spans="1:2" x14ac:dyDescent="0.25">
      <c r="A110" s="195" t="s">
        <v>192</v>
      </c>
      <c r="B110" s="197">
        <v>4</v>
      </c>
    </row>
    <row r="111" spans="1:2" x14ac:dyDescent="0.25">
      <c r="A111" s="195" t="s">
        <v>274</v>
      </c>
      <c r="B111" s="197">
        <v>1</v>
      </c>
    </row>
    <row r="112" spans="1:2" ht="15.75" thickBot="1" x14ac:dyDescent="0.3">
      <c r="A112" s="199"/>
      <c r="B112" s="3">
        <v>39</v>
      </c>
    </row>
    <row r="113" spans="1:2" ht="15.75" thickBot="1" x14ac:dyDescent="0.3">
      <c r="B113" s="120"/>
    </row>
    <row r="114" spans="1:2" x14ac:dyDescent="0.25">
      <c r="A114" s="510" t="s">
        <v>276</v>
      </c>
      <c r="B114" s="512"/>
    </row>
    <row r="115" spans="1:2" x14ac:dyDescent="0.25">
      <c r="A115" s="195" t="s">
        <v>277</v>
      </c>
      <c r="B115" s="197" t="s">
        <v>220</v>
      </c>
    </row>
    <row r="116" spans="1:2" x14ac:dyDescent="0.25">
      <c r="A116" s="195" t="s">
        <v>185</v>
      </c>
      <c r="B116" s="197">
        <v>9</v>
      </c>
    </row>
    <row r="117" spans="1:2" x14ac:dyDescent="0.25">
      <c r="A117" s="195" t="s">
        <v>186</v>
      </c>
      <c r="B117" s="197">
        <v>3</v>
      </c>
    </row>
    <row r="118" spans="1:2" x14ac:dyDescent="0.25">
      <c r="A118" s="195" t="s">
        <v>187</v>
      </c>
      <c r="B118" s="197">
        <v>3</v>
      </c>
    </row>
    <row r="119" spans="1:2" x14ac:dyDescent="0.25">
      <c r="A119" s="195" t="s">
        <v>188</v>
      </c>
      <c r="B119" s="197">
        <v>6</v>
      </c>
    </row>
    <row r="120" spans="1:2" x14ac:dyDescent="0.25">
      <c r="A120" s="195" t="s">
        <v>189</v>
      </c>
      <c r="B120" s="197">
        <v>6</v>
      </c>
    </row>
    <row r="121" spans="1:2" x14ac:dyDescent="0.25">
      <c r="A121" s="195" t="s">
        <v>190</v>
      </c>
      <c r="B121" s="197">
        <v>6</v>
      </c>
    </row>
    <row r="122" spans="1:2" x14ac:dyDescent="0.25">
      <c r="A122" s="195" t="s">
        <v>191</v>
      </c>
      <c r="B122" s="197">
        <v>3</v>
      </c>
    </row>
    <row r="123" spans="1:2" x14ac:dyDescent="0.25">
      <c r="A123" s="195" t="s">
        <v>192</v>
      </c>
      <c r="B123" s="197">
        <v>3</v>
      </c>
    </row>
    <row r="124" spans="1:2" x14ac:dyDescent="0.25">
      <c r="A124" s="195" t="s">
        <v>193</v>
      </c>
      <c r="B124" s="197">
        <v>6</v>
      </c>
    </row>
    <row r="125" spans="1:2" x14ac:dyDescent="0.25">
      <c r="A125" s="195" t="s">
        <v>194</v>
      </c>
      <c r="B125" s="197">
        <v>3</v>
      </c>
    </row>
    <row r="126" spans="1:2" x14ac:dyDescent="0.25">
      <c r="A126" s="195" t="s">
        <v>218</v>
      </c>
      <c r="B126" s="197"/>
    </row>
    <row r="127" spans="1:2" x14ac:dyDescent="0.25">
      <c r="A127" s="195" t="s">
        <v>185</v>
      </c>
      <c r="B127" s="197">
        <v>3</v>
      </c>
    </row>
    <row r="128" spans="1:2" x14ac:dyDescent="0.25">
      <c r="A128" s="195" t="s">
        <v>198</v>
      </c>
      <c r="B128" s="197">
        <v>3</v>
      </c>
    </row>
    <row r="129" spans="1:2" x14ac:dyDescent="0.25">
      <c r="A129" s="195" t="s">
        <v>192</v>
      </c>
      <c r="B129" s="197">
        <v>12</v>
      </c>
    </row>
    <row r="130" spans="1:2" x14ac:dyDescent="0.25">
      <c r="A130" s="195" t="s">
        <v>274</v>
      </c>
      <c r="B130" s="197">
        <v>3</v>
      </c>
    </row>
    <row r="131" spans="1:2" ht="15.75" thickBot="1" x14ac:dyDescent="0.3">
      <c r="A131" s="199"/>
      <c r="B131" s="3">
        <f>SUM(B116:B130)</f>
        <v>69</v>
      </c>
    </row>
  </sheetData>
  <customSheetViews>
    <customSheetView guid="{CAABEC37-EB41-41EA-8358-75DFFF1C418B}" scale="60" showPageBreaks="1" fitToPage="1" printArea="1" topLeftCell="A88">
      <selection activeCell="F99" sqref="F99"/>
      <pageMargins left="0.7" right="0.7" top="0.75" bottom="0.75" header="0.3" footer="0.3"/>
      <pageSetup paperSize="611" scale="25" orientation="portrait" horizontalDpi="0" verticalDpi="0" r:id="rId1"/>
      <headerFooter scaleWithDoc="0">
        <oddHeader>&amp;L&amp;P of &amp;N&amp;C&amp;F &amp;A</oddHeader>
      </headerFooter>
    </customSheetView>
    <customSheetView guid="{15B474D1-E47A-4C0E-8895-89D98B12A497}" scale="50" fitToPage="1" topLeftCell="A82">
      <pageMargins left="0.7" right="0.7" top="0.75" bottom="0.75" header="0.3" footer="0.3"/>
      <pageSetup paperSize="611" scale="90" orientation="portrait" horizontalDpi="0" verticalDpi="0" r:id="rId2"/>
      <headerFooter scaleWithDoc="0">
        <oddHeader>&amp;L&amp;P of &amp;N&amp;C&amp;F &amp;A</oddHeader>
      </headerFooter>
    </customSheetView>
    <customSheetView guid="{5E423FF4-B179-40EA-B86D-E5D89FDA80FE}" scale="75" fitToPage="1" topLeftCell="A75">
      <selection activeCell="B82" sqref="B82"/>
      <pageMargins left="0.7" right="0.7" top="0.75" bottom="0.75" header="0.3" footer="0.3"/>
      <pageSetup paperSize="611" scale="25" orientation="portrait" horizontalDpi="0" verticalDpi="0" r:id="rId3"/>
      <headerFooter scaleWithDoc="0">
        <oddHeader>&amp;L&amp;P of &amp;N&amp;C&amp;F &amp;A</oddHeader>
      </headerFooter>
    </customSheetView>
  </customSheetViews>
  <mergeCells count="5">
    <mergeCell ref="A95:B95"/>
    <mergeCell ref="A114:B114"/>
    <mergeCell ref="H1:I1"/>
    <mergeCell ref="J1:K1"/>
    <mergeCell ref="F1:G1"/>
  </mergeCells>
  <pageMargins left="0.7" right="0.7" top="0.75" bottom="0.75" header="0.3" footer="0.3"/>
  <pageSetup paperSize="611" scale="21" orientation="portrait" horizontalDpi="0" verticalDpi="0" r:id="rId4"/>
  <headerFooter scaleWithDoc="0">
    <oddHeader>&amp;L&amp;P of &amp;N&amp;C&amp;F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8"/>
  <sheetViews>
    <sheetView zoomScale="90" zoomScaleNormal="90" workbookViewId="0">
      <selection activeCell="G16" sqref="G16:G18"/>
    </sheetView>
  </sheetViews>
  <sheetFormatPr defaultColWidth="8.85546875" defaultRowHeight="15" x14ac:dyDescent="0.25"/>
  <cols>
    <col min="1" max="1" width="41.7109375" style="65" customWidth="1"/>
    <col min="2" max="2" width="19.5703125" style="64" customWidth="1"/>
    <col min="3" max="3" width="7.42578125" style="64" bestFit="1" customWidth="1"/>
    <col min="4" max="4" width="8.28515625" style="64" bestFit="1" customWidth="1"/>
    <col min="5" max="5" width="22.5703125" style="64" customWidth="1"/>
    <col min="6" max="6" width="26" style="64" customWidth="1"/>
    <col min="7" max="7" width="12.7109375" style="64" customWidth="1"/>
    <col min="8" max="8" width="9.42578125" style="64" bestFit="1" customWidth="1"/>
    <col min="9" max="16384" width="8.85546875" style="64"/>
  </cols>
  <sheetData>
    <row r="1" spans="1:9" x14ac:dyDescent="0.25">
      <c r="A1" s="245" t="s">
        <v>432</v>
      </c>
      <c r="B1" s="188" t="s">
        <v>418</v>
      </c>
    </row>
    <row r="2" spans="1:9" x14ac:dyDescent="0.25">
      <c r="A2" s="238" t="s">
        <v>321</v>
      </c>
      <c r="B2" s="239">
        <f>+'FORA Admin Costs updated'!P62</f>
        <v>134.31591768307371</v>
      </c>
    </row>
    <row r="3" spans="1:9" x14ac:dyDescent="0.25">
      <c r="A3" s="240" t="s">
        <v>378</v>
      </c>
      <c r="B3" s="239">
        <f>+'FORA Admin Costs updated'!P66</f>
        <v>83.940438869432128</v>
      </c>
    </row>
    <row r="4" spans="1:9" x14ac:dyDescent="0.25">
      <c r="A4" s="241" t="s">
        <v>324</v>
      </c>
      <c r="B4" s="239">
        <f>+'FORA Admin Costs updated'!P65</f>
        <v>6.3147833871448382</v>
      </c>
      <c r="C4" s="218"/>
    </row>
    <row r="5" spans="1:9" ht="15.75" thickBot="1" x14ac:dyDescent="0.3">
      <c r="A5" s="241" t="s">
        <v>374</v>
      </c>
      <c r="B5" s="242">
        <f>+'FORA Admin Costs updated'!P63</f>
        <v>2.3336469750316402</v>
      </c>
    </row>
    <row r="6" spans="1:9" ht="15.75" thickBot="1" x14ac:dyDescent="0.3">
      <c r="A6" s="243" t="s">
        <v>212</v>
      </c>
      <c r="B6" s="244">
        <f>SUM(B2:B5)</f>
        <v>226.90478691468232</v>
      </c>
    </row>
    <row r="7" spans="1:9" ht="15.75" thickBot="1" x14ac:dyDescent="0.3">
      <c r="C7" s="227"/>
      <c r="D7" s="227"/>
      <c r="E7" s="227"/>
      <c r="F7" s="227"/>
    </row>
    <row r="8" spans="1:9" x14ac:dyDescent="0.25">
      <c r="A8" s="226" t="s">
        <v>379</v>
      </c>
      <c r="B8" s="246"/>
      <c r="C8" s="122" t="s">
        <v>468</v>
      </c>
      <c r="D8" s="227"/>
    </row>
    <row r="9" spans="1:9" x14ac:dyDescent="0.25">
      <c r="A9" s="228" t="s">
        <v>377</v>
      </c>
      <c r="B9" s="247">
        <v>194.06</v>
      </c>
      <c r="C9" s="340">
        <v>0.15</v>
      </c>
      <c r="D9" s="273">
        <f>+B9*C9</f>
        <v>29.108999999999998</v>
      </c>
      <c r="F9" s="218"/>
      <c r="G9" s="275"/>
      <c r="H9" s="274"/>
    </row>
    <row r="10" spans="1:9" x14ac:dyDescent="0.25">
      <c r="A10" s="229" t="s">
        <v>244</v>
      </c>
      <c r="B10" s="248">
        <v>129.83000000000001</v>
      </c>
      <c r="C10" s="340">
        <v>0.75</v>
      </c>
      <c r="D10" s="273">
        <f t="shared" ref="D10:D11" si="0">+B10*C10</f>
        <v>97.372500000000002</v>
      </c>
      <c r="F10" s="218"/>
      <c r="G10" s="275"/>
    </row>
    <row r="11" spans="1:9" ht="15.75" thickBot="1" x14ac:dyDescent="0.3">
      <c r="A11" s="230" t="s">
        <v>243</v>
      </c>
      <c r="B11" s="249">
        <v>118.9</v>
      </c>
      <c r="C11" s="340">
        <v>1</v>
      </c>
      <c r="D11" s="273">
        <f t="shared" si="0"/>
        <v>118.9</v>
      </c>
      <c r="F11" s="218"/>
      <c r="G11" s="275"/>
      <c r="H11" s="218"/>
      <c r="I11" s="274"/>
    </row>
    <row r="12" spans="1:9" ht="15.75" thickBot="1" x14ac:dyDescent="0.3">
      <c r="A12" s="231"/>
      <c r="B12" s="250">
        <f>SUM(B9:B11)</f>
        <v>442.78999999999996</v>
      </c>
      <c r="C12" s="341"/>
      <c r="D12" s="338">
        <f>SUM(D9:D11)</f>
        <v>245.38150000000002</v>
      </c>
      <c r="G12" s="274"/>
      <c r="H12" s="218"/>
      <c r="I12" s="273"/>
    </row>
    <row r="13" spans="1:9" ht="15.75" thickBot="1" x14ac:dyDescent="0.3">
      <c r="C13" s="341"/>
      <c r="I13" s="274"/>
    </row>
    <row r="14" spans="1:9" x14ac:dyDescent="0.25">
      <c r="A14" s="344" t="s">
        <v>472</v>
      </c>
      <c r="B14" s="336"/>
      <c r="C14" s="341" t="s">
        <v>469</v>
      </c>
    </row>
    <row r="15" spans="1:9" x14ac:dyDescent="0.25">
      <c r="A15" s="229" t="s">
        <v>470</v>
      </c>
      <c r="B15" s="248">
        <v>129.83000000000001</v>
      </c>
      <c r="C15" s="340">
        <v>1</v>
      </c>
      <c r="D15" s="273">
        <f>+B15*C15</f>
        <v>129.83000000000001</v>
      </c>
    </row>
    <row r="16" spans="1:9" ht="15.75" thickBot="1" x14ac:dyDescent="0.3">
      <c r="A16" s="230" t="s">
        <v>471</v>
      </c>
      <c r="B16" s="249">
        <v>118.9</v>
      </c>
      <c r="C16" s="340">
        <v>0.25</v>
      </c>
      <c r="D16" s="273">
        <f>+B16*C16</f>
        <v>29.725000000000001</v>
      </c>
      <c r="G16" s="453"/>
    </row>
    <row r="17" spans="1:7" ht="15.75" thickBot="1" x14ac:dyDescent="0.3">
      <c r="A17" s="231"/>
      <c r="B17" s="337">
        <f>SUM(B14:B16)</f>
        <v>248.73000000000002</v>
      </c>
      <c r="D17" s="339">
        <f>SUM(D14:D16)</f>
        <v>159.55500000000001</v>
      </c>
      <c r="G17" s="453"/>
    </row>
    <row r="18" spans="1:7" x14ac:dyDescent="0.25">
      <c r="G18" s="453"/>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Assumptions</vt:lpstr>
      <vt:lpstr>Sum Adm+Reg+LTO 8 yr(v2)</vt:lpstr>
      <vt:lpstr>Reg. Reimburs Costs</vt:lpstr>
      <vt:lpstr>FORA Admin Costs updated</vt:lpstr>
      <vt:lpstr>Post-Closure MEC Find Assesment</vt:lpstr>
      <vt:lpstr> Long Term Mgmnt 8y</vt:lpstr>
      <vt:lpstr>LUC Mgmnt 8y</vt:lpstr>
      <vt:lpstr>FORA Loaded Hourly</vt:lpstr>
      <vt:lpstr>' Long Term Mgmnt 8y'!Print_Area</vt:lpstr>
      <vt:lpstr>Assumptions!Print_Area</vt:lpstr>
      <vt:lpstr>'FORA Admin Costs updated'!Print_Area</vt:lpstr>
      <vt:lpstr>'LUC Mgmnt 8y'!Print_Area</vt:lpstr>
      <vt:lpstr>'Post-Closure MEC Find Assesment'!Print_Area</vt:lpstr>
      <vt:lpstr>'Reg. Reimburs Costs'!Print_Area</vt:lpstr>
      <vt:lpstr>'Sum Adm+Reg+LTO 8 yr(v2)'!Print_Area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Stan Cook</dc:creator>
  <cp:lastModifiedBy>Stan</cp:lastModifiedBy>
  <cp:lastPrinted>2019-08-25T14:35:34Z</cp:lastPrinted>
  <dcterms:created xsi:type="dcterms:W3CDTF">2017-02-22T14:37:13Z</dcterms:created>
  <dcterms:modified xsi:type="dcterms:W3CDTF">2019-10-08T12:49:39Z</dcterms:modified>
</cp:coreProperties>
</file>